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0" yWindow="0" windowWidth="14145" windowHeight="12120" activeTab="4"/>
  </bookViews>
  <sheets>
    <sheet name="Таблица №9" sheetId="1" r:id="rId1"/>
    <sheet name="Таблица №7" sheetId="2" r:id="rId2"/>
    <sheet name="Таблица №6" sheetId="3" r:id="rId3"/>
    <sheet name="Таблица №11" sheetId="4" r:id="rId4"/>
    <sheet name="Таблица №12" sheetId="5" r:id="rId5"/>
  </sheets>
  <definedNames>
    <definedName name="APPT" localSheetId="3">'Таблица №11'!#REF!</definedName>
    <definedName name="APPT" localSheetId="4">'Таблица №12'!#REF!</definedName>
    <definedName name="APPT" localSheetId="1">'Таблица №7'!#REF!</definedName>
    <definedName name="APPT" localSheetId="0">'Таблица №9'!#REF!</definedName>
    <definedName name="FIO" localSheetId="3">'Таблица №11'!#REF!</definedName>
    <definedName name="FIO" localSheetId="4">'Таблица №12'!#REF!</definedName>
    <definedName name="FIO" localSheetId="1">'Таблица №7'!#REF!</definedName>
    <definedName name="FIO" localSheetId="0">'Таблица №9'!#REF!</definedName>
    <definedName name="SIGN" localSheetId="3">'Таблица №11'!#REF!</definedName>
    <definedName name="SIGN" localSheetId="4">'Таблица №12'!#REF!</definedName>
    <definedName name="SIGN" localSheetId="1">'Таблица №7'!#REF!</definedName>
    <definedName name="SIGN" localSheetId="0">'Таблица №9'!$A$22:$E$23</definedName>
  </definedNames>
  <calcPr fullCalcOnLoad="1"/>
</workbook>
</file>

<file path=xl/sharedStrings.xml><?xml version="1.0" encoding="utf-8"?>
<sst xmlns="http://schemas.openxmlformats.org/spreadsheetml/2006/main" count="1511" uniqueCount="324">
  <si>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</si>
  <si>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</si>
  <si>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</si>
  <si>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</si>
  <si>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</si>
  <si>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</si>
  <si>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</si>
  <si>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</si>
  <si>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</si>
  <si>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</si>
  <si>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Другие общегосударственные  вопросы</t>
  </si>
  <si>
    <t>Национальная оборона</t>
  </si>
  <si>
    <t>Защита населения и территорий от чрезвычайных ситуаций природного и техногенного характера, гражданская оборона</t>
  </si>
  <si>
    <t>Жилищно – коммунальное хозяйство</t>
  </si>
  <si>
    <t>0503</t>
  </si>
  <si>
    <t>Благоустройство</t>
  </si>
  <si>
    <t>Молодежная политика  и оздоровление детей</t>
  </si>
  <si>
    <t>Культура, кинематография</t>
  </si>
  <si>
    <t>Борьба с беспризорностью, опека, попечительство</t>
  </si>
  <si>
    <t>1100</t>
  </si>
  <si>
    <t>Физическая культура  и спорт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</si>
  <si>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</si>
  <si>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</si>
  <si>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</si>
  <si>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</si>
  <si>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</si>
  <si>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</si>
  <si>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Таблица № 9</t>
  </si>
  <si>
    <t>Таблица № 7</t>
  </si>
  <si>
    <t>Таблица №6</t>
  </si>
  <si>
    <t>Таблица № 11</t>
  </si>
  <si>
    <t>Таблица № 12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</si>
  <si>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</si>
  <si>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</si>
  <si>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</si>
  <si>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</si>
  <si>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</si>
  <si>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</si>
  <si>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</si>
  <si>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тыс.рублей</t>
  </si>
  <si>
    <t>20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</si>
  <si>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</si>
  <si>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Мероприятия по комплектованию книжных фондов библиотек муниципальных образований</t>
  </si>
  <si>
    <t>тыс. рублей</t>
  </si>
  <si>
    <t>Субсидия на обеспечение полномочий органов местного самоуправления Волгоградской области по организации отдыха детей в каникулярное время</t>
  </si>
  <si>
    <t>2018 год</t>
  </si>
  <si>
    <t>Муниципальная программа "О поддержке деятельности казачьих обществ  Алексеевского муниципального района на 2016-2018 годы"</t>
  </si>
  <si>
    <t>Муниципальная программа "Развитие физической культуры и спорта в Алексеевском муниципальном районе на 2016-2018 годы"</t>
  </si>
  <si>
    <t>Муниципальная программа "Развитие и поддержка малого предпринимательства Алексеевского муниципального района на 2016-2018 годы "</t>
  </si>
  <si>
    <t>Раздел,</t>
  </si>
  <si>
    <t>Целевая статья (муниципальная программа и непрограммное направление деятельности)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</si>
  <si>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</si>
  <si>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</si>
  <si>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</si>
  <si>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</si>
  <si>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</si>
  <si>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Жилищное хозяйство</t>
  </si>
  <si>
    <t>0501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</si>
  <si>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</si>
  <si>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</si>
  <si>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</si>
  <si>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2015-2017 годы "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</si>
  <si>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</si>
  <si>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</si>
  <si>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Подпрограмма " Профилактика безнадзорности , правонарушений и неблагополучия несовершеннолетних"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</si>
  <si>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</si>
  <si>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</si>
  <si>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</si>
  <si>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</si>
  <si>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 xml:space="preserve">Обслуживание  государственного (муниципального) долга </t>
  </si>
  <si>
    <t>Программное направление расходов (ведомственная целевая программа)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</si>
  <si>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</si>
  <si>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</si>
  <si>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</si>
  <si>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</si>
  <si>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</si>
  <si>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</si>
  <si>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</si>
  <si>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</si>
  <si>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</si>
  <si>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</si>
  <si>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</si>
  <si>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</si>
  <si>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</si>
  <si>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</si>
  <si>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</si>
  <si>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</si>
  <si>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</si>
  <si>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Основное мероприятие "Мероприятия по стимулированию организаций ТОС Алексеевского муниципального района для решения вопросов уставной деятельности и обмена опытом"</t>
  </si>
  <si>
    <t>Муниципальная программа  «Охрана окружающей среды Алексеевского муниципального района на 2016-2018 годы»</t>
  </si>
  <si>
    <t>Муниципальная программа  «Развитие народных художественных промыслов Алексеевского  муниципального района на 2016-2018 годы»</t>
  </si>
  <si>
    <t>Муниципальная программа  " 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 в Алексеевском  муниципальном районе 2016-2018 годы"</t>
  </si>
  <si>
    <t>Ведомственная целевая программа "Развитие дошкольного образования детей на  территории  Алексеевского муниципального района на 2016-2018 годы"</t>
  </si>
  <si>
    <t>Ведомственная целевая программа "Реализация дополнительных общеобразовательных предпрофессиональных  программ в  Алексеевском муниципальном районе на 2016-2018 годы" (ДШИ)</t>
  </si>
  <si>
    <t>Ведомственная целевая программа "Молодежная политика  на территории Алексеевского муниципального района на 2016-2018 годы" (СДЦ)</t>
  </si>
  <si>
    <t>Ведомственная целевая программа "Развитие культуры и искусства в Алексеевском муниципальном районе на 2016-2018 годы"</t>
  </si>
  <si>
    <t>Ведомственная целевая программа "Поддержка средств массовой информации  в Алексеевском муниципальном районе на 2016-2018 годы"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</si>
  <si>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</si>
  <si>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</si>
  <si>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24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</si>
  <si>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2016-2018 годы"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</si>
  <si>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</si>
  <si>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</si>
  <si>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</si>
  <si>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"Мероприятия  по подготовке к отопительному сезону объектов социальной сферы"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</si>
  <si>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</si>
  <si>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</si>
  <si>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"Закупка контейнерных бункеров для сбора твердых бытовых отходов и утилизации"</t>
  </si>
  <si>
    <t>Основное мероприятие "Профилактические мероприятия направленные на борьбу с  наркоманией и распространением наркотиков"</t>
  </si>
  <si>
    <t>Основное мероприятие "Мероприятия молодежной политики и социальной адаптации молодежи"</t>
  </si>
  <si>
    <t>Основное мероприятие " Мероприятия, направленные на  профилактику безнадзорности и правонарушений несовершеннолетних"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</si>
  <si>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</si>
  <si>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</si>
  <si>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</si>
  <si>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"Комплекс мероприятий по формированию доступной среды жизнедеятельности"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</si>
  <si>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</si>
  <si>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"Мероприятия по строительству, реконструкции, ремонту и проектированию  автомобильных дорог общего пользования местного значения"</t>
  </si>
  <si>
    <t>Основное мероприятие "Проведение работ по созданию условий для привлечения граждан к осуществлению профилактики правонарушений и обеспечения безопасности дорожного движения в границах Алексеевского муниципального района"</t>
  </si>
  <si>
    <t>Основное мероприятие "Повышение эффективности работы по предупреждению проявления экстремизма и терроризма"</t>
  </si>
  <si>
    <t>Основное мероприятие "Строительство социально-значимых объектов и объектов инженерной инфраструктуры"</t>
  </si>
  <si>
    <t>Телевидение и радиовещание</t>
  </si>
  <si>
    <t>1201</t>
  </si>
  <si>
    <t>Основное мероприятие "Финансовая поддержка  молодежи, имеющей способности к ведению предпринимательской деятельности в виде денежных грантов"</t>
  </si>
  <si>
    <t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t>
  </si>
  <si>
    <t>Муниципальная программа "Профилактика  правонарушений и безопасности дорожного движения на территории Алексеевского муниципального района на 2016-2018 годы"</t>
  </si>
  <si>
    <t>Муниципальная программа  "Развитие муниципальной службы в администрации Алексеевского муниципального района Волгоградской области на 2016-2018 годы"</t>
  </si>
  <si>
    <t>Муниципальная программа "Инвестиционная программа по жилищно-коммунальному хозяйству Алексеевского муниципального района на 2016-2018 годы"</t>
  </si>
  <si>
    <t>Муниципальная программа "Развитие территориального общественного самоуправления Алексеевского муниципального района на 2016-2018 годы"</t>
  </si>
  <si>
    <t>Муниципальная программа "Организация отдыха и оздоровление детей в Алексеевском муниципальном районе Волгоградской области на 2016-2018 годы"</t>
  </si>
  <si>
    <t xml:space="preserve">Ведомственная целевая программа "Организация отдыха и оздоровление детей на базе муниципального бюджетного учреждения Алексеевского муниципального детского оздоровительного лагеря "Сосенка" на 2016-2018 годы" 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</si>
  <si>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 на 2016-2018 годы"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</si>
  <si>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</si>
  <si>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Осуществлением полномочий по подготовке и проведению Всероссийской сельскохозяйственной переписи в 2016 году</t>
  </si>
  <si>
    <t>Ведомственная целевая программа "Развитие физической культуры и спорта в  учреждение  дополнительного образования детей Алексеевского муниципального района на 2016-2018 годы" (ДЮСШ)</t>
  </si>
  <si>
    <t>Основное мероприятие "Организация отдыха и оздоровление детей на территории Алексеевского муниципального района"</t>
  </si>
  <si>
    <t>Муниципальная программа "Маршрут Победы на 2016-2018 годы"</t>
  </si>
  <si>
    <t>Муниципальная программа "Устойчивое развитие сельских территорий  Алексеевского муниципального района на  2014-2017 годы и на период до 2020 года"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</si>
  <si>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</si>
  <si>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За счет средств на софинансирование из федерального бюджета</t>
  </si>
  <si>
    <t>Подпрограмма «Газификация Алексеевского муниципального района»</t>
  </si>
  <si>
    <t>Мероприятия по развитию газификации в сельской местности за счет субсидий из областного бюджета</t>
  </si>
  <si>
    <t>Основное мероприятие "Мероприятия по развитию газификации в сельской местности"</t>
  </si>
  <si>
    <t>Основное мероприятие "Мероприятия по ремонту объектов муниципальной собственности"</t>
  </si>
  <si>
    <t>Закупка товаров, работ и услуг в целях ремонта объектов муниципальной собственности</t>
  </si>
  <si>
    <t>Муниципальная программа «Профилактика терроризма и экстремизма на территории  Алексеевского муниципального района на 2016-2018 годы"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</si>
  <si>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</si>
  <si>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Основное мероприятие "Мероприятия по реализации мер по поддержке ветеранов ВОВ, их вдов, тружеников тыла"</t>
  </si>
  <si>
    <t>Ведомственная целевая программа "Повышение эффективности предоставления государственных и муниципальных услуг на базе автономного учреждения «Алексеевский многофункциональный центр предоставления государственных и муниципальных услуг» на территории Алексеевского муниципального района Волгоградской области на 2016-2018 годы"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</si>
  <si>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</si>
  <si>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t>
  </si>
  <si>
    <t>22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</si>
  <si>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"</t>
  </si>
  <si>
    <t>08</t>
  </si>
  <si>
    <t>300</t>
  </si>
  <si>
    <t>Муниципальная программа 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2016-2018 годы"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</si>
  <si>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</si>
  <si>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</si>
  <si>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дотации областного бюджета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</si>
  <si>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2017 год и плановый период   2018-2019 годов</t>
  </si>
  <si>
    <t>Изменения 2017 год</t>
  </si>
  <si>
    <t>2017 год  с учетом изменений</t>
  </si>
  <si>
    <t>Изменения 2018 год</t>
  </si>
  <si>
    <t>2019 год</t>
  </si>
  <si>
    <t xml:space="preserve">Субсидии бюджетным учреждениям на финансовое обеспечение  погашения задолженности по денежным обязательствам, возникшим и неоплаченным на 01.01.2017 г.  за счет средств областного бюджета 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</si>
  <si>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t>
  </si>
  <si>
    <t>Ведомственная целевая программа "Развитие общего образования детей на  территории  Алексеевского муниципального района на 2017-2019 годы"</t>
  </si>
  <si>
    <t xml:space="preserve">Субсидии бюджетным учреждениям на финансовое обеспечение  погашения задолженности по денежным обязательствам, возникшим и неоплаченным на 01.01.2017 г. за счет средств областного бюджета </t>
  </si>
  <si>
    <t>Распределение  бюджетных ассигнований  на реализацию муниципальных целевых программ на 2017 год и плановый период 2018-2019 годов</t>
  </si>
  <si>
    <t>Распределение  бюджетных ассигнований по разделам и подразделам, целевым статьям и видам расходов районного бюджета на 2017 год и плановый период 2018-2019 годов</t>
  </si>
  <si>
    <t>Распределение бюджетных ассигнований                                                                                                                                                          по разделам и по подразделам  классификации расходов районного бюджета на 2017 год и на плановый период 2018 - 2019 годы</t>
  </si>
  <si>
    <t>Распределение  бюджетных ассигнований  на реализацию ведомственных целевых программ на 2017 год и плановый период 2018-2019 годов</t>
  </si>
  <si>
    <t xml:space="preserve">Алексеевской районной Думы </t>
  </si>
  <si>
    <t>к приложению № 1 решения</t>
  </si>
  <si>
    <t xml:space="preserve"> приложения №1 решения</t>
  </si>
  <si>
    <t>от  02.12.2016 г.  № 56/357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</si>
  <si>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</si>
  <si>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</si>
  <si>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</si>
  <si>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</si>
  <si>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</si>
  <si>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</si>
  <si>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</si>
  <si>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</si>
  <si>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10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</si>
  <si>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</si>
  <si>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</si>
  <si>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</si>
  <si>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</si>
  <si>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</si>
  <si>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</si>
  <si>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</si>
  <si>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</si>
  <si>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</si>
  <si>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</si>
  <si>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</si>
  <si>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50</t>
  </si>
  <si>
    <t>16</t>
  </si>
  <si>
    <t>17</t>
  </si>
  <si>
    <t>52</t>
  </si>
  <si>
    <t>53</t>
  </si>
  <si>
    <t>54</t>
  </si>
  <si>
    <t>55</t>
  </si>
  <si>
    <t>56</t>
  </si>
  <si>
    <t>57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</si>
  <si>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</si>
  <si>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</si>
  <si>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</si>
  <si>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</si>
  <si>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</si>
  <si>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</si>
  <si>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</si>
  <si>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</si>
  <si>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Ревизионная комиссия Алексеевского муниципального района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</si>
  <si>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</si>
  <si>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</si>
  <si>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</si>
  <si>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</si>
  <si>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</si>
  <si>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</si>
  <si>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</si>
  <si>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</si>
  <si>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</si>
  <si>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</si>
  <si>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</si>
  <si>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</si>
  <si>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</si>
  <si>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</si>
  <si>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</si>
  <si>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</si>
  <si>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</si>
  <si>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Оценка недвижимости, признание прав и регулирование отношений  по муниципальной собственности</t>
  </si>
  <si>
    <t>Реализация  государственных функций, связанных с общегосударственным управлением</t>
  </si>
  <si>
    <t>Государственная  регистрация актов гражданского состояния</t>
  </si>
  <si>
    <t>Условно утвержденные расходы</t>
  </si>
  <si>
    <t>Глава администрации муниципального образования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</si>
  <si>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</si>
  <si>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</si>
  <si>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</si>
  <si>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</si>
  <si>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</si>
  <si>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Мероприятия в области строительства, архитектуры и градостроения</t>
  </si>
  <si>
    <t>0412</t>
  </si>
  <si>
    <t>Коммунальное хозяйство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</si>
  <si>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</si>
  <si>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</si>
  <si>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</si>
  <si>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</si>
  <si>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</si>
  <si>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</si>
  <si>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</si>
  <si>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</si>
  <si>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</si>
  <si>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</si>
  <si>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</si>
  <si>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</si>
  <si>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</si>
  <si>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</si>
  <si>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</si>
  <si>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</si>
  <si>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Учреждения по внешкольной работе с детьми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</si>
  <si>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</si>
  <si>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</si>
  <si>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</si>
  <si>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</si>
  <si>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</si>
  <si>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</si>
  <si>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</si>
  <si>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</si>
  <si>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</si>
  <si>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</si>
  <si>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</si>
  <si>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</si>
  <si>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</si>
  <si>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</si>
  <si>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</si>
  <si>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</si>
  <si>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</si>
  <si>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</si>
  <si>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</si>
  <si>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Социальные выплаты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</si>
  <si>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</si>
  <si>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</si>
  <si>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</si>
  <si>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</si>
  <si>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</si>
  <si>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</si>
  <si>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</si>
  <si>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</si>
  <si>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</si>
  <si>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</si>
  <si>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</si>
  <si>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</si>
  <si>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</si>
  <si>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</si>
  <si>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</si>
  <si>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</si>
  <si>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</si>
  <si>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Администрация Алексеевского муниципального  района</t>
  </si>
  <si>
    <t>За счет субвенции  на создание, исполнение функций и обеспечение деятельности муниципальных комиссий по делам несовершеннолетних и защите их прав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</si>
  <si>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</si>
  <si>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</si>
  <si>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За счет субвенции на деятельность 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</si>
  <si>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</si>
  <si>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</si>
  <si>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</si>
  <si>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</si>
  <si>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</si>
  <si>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</si>
  <si>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</si>
  <si>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</si>
  <si>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</si>
  <si>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</si>
  <si>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</si>
  <si>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</si>
  <si>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</si>
  <si>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</si>
  <si>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</si>
  <si>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чрезвычайных ситуациях в мирное и военное время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</si>
  <si>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</si>
  <si>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</si>
  <si>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</si>
  <si>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</si>
  <si>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>к приложению №1 решения</t>
  </si>
  <si>
    <t>от  02.12.2016 г. № 56/357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</si>
</sst>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0.00000"/>
    <numFmt numFmtId="167" formatCode="0.0000"/>
    <numFmt numFmtId="168" formatCode="0.000"/>
    <numFmt numFmtId="169" formatCode="#,##0.0_р_."/>
    <numFmt numFmtId="170" formatCode="#,##0.0"/>
    <numFmt numFmtId="171" formatCode="000"/>
    <numFmt numFmtId="172" formatCode="0.000000"/>
    <numFmt numFmtId="173" formatCode="#,##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top" wrapText="1"/>
    </xf>
    <xf numFmtId="164" fontId="0" fillId="0" borderId="0" xfId="0" applyNumberFormat="1" applyFont="1" applyAlignment="1">
      <alignment horizontal="center"/>
    </xf>
    <xf numFmtId="0" fontId="34" fillId="0" borderId="0" xfId="0" applyFont="1" applyFill="1" applyAlignment="1">
      <alignment/>
    </xf>
    <xf numFmtId="0" fontId="0" fillId="24" borderId="0" xfId="0" applyFill="1" applyAlignment="1">
      <alignment/>
    </xf>
    <xf numFmtId="49" fontId="7" fillId="24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/>
    </xf>
    <xf numFmtId="0" fontId="10" fillId="24" borderId="0" xfId="53" applyFont="1" applyFill="1" applyAlignment="1">
      <alignment horizontal="right"/>
      <protection/>
    </xf>
    <xf numFmtId="0" fontId="10" fillId="24" borderId="0" xfId="53" applyFont="1" applyFill="1">
      <alignment/>
      <protection/>
    </xf>
    <xf numFmtId="0" fontId="1" fillId="0" borderId="0" xfId="53">
      <alignment/>
      <protection/>
    </xf>
    <xf numFmtId="0" fontId="10" fillId="24" borderId="0" xfId="53" applyFont="1" applyFill="1" applyAlignment="1">
      <alignment horizontal="center"/>
      <protection/>
    </xf>
    <xf numFmtId="0" fontId="1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ill="1" applyAlignment="1">
      <alignment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13" fillId="24" borderId="0" xfId="53" applyFont="1" applyFill="1">
      <alignment/>
      <protection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13" fillId="24" borderId="10" xfId="0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13" fillId="24" borderId="10" xfId="0" applyNumberFormat="1" applyFont="1" applyFill="1" applyBorder="1" applyAlignment="1">
      <alignment horizontal="center" wrapText="1"/>
    </xf>
    <xf numFmtId="169" fontId="13" fillId="24" borderId="10" xfId="0" applyNumberFormat="1" applyFont="1" applyFill="1" applyBorder="1" applyAlignment="1">
      <alignment horizontal="right" wrapText="1"/>
    </xf>
    <xf numFmtId="49" fontId="13" fillId="24" borderId="1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 horizontal="center" vertical="top" wrapText="1"/>
    </xf>
    <xf numFmtId="0" fontId="35" fillId="0" borderId="10" xfId="0" applyNumberFormat="1" applyFont="1" applyFill="1" applyBorder="1" applyAlignment="1">
      <alignment horizontal="left" vertical="top" wrapText="1"/>
    </xf>
    <xf numFmtId="0" fontId="13" fillId="24" borderId="10" xfId="0" applyNumberFormat="1" applyFont="1" applyFill="1" applyBorder="1" applyAlignment="1">
      <alignment horizontal="left" vertical="top" wrapText="1"/>
    </xf>
    <xf numFmtId="0" fontId="13" fillId="24" borderId="10" xfId="0" applyNumberFormat="1" applyFont="1" applyFill="1" applyBorder="1" applyAlignment="1">
      <alignment vertical="top" wrapText="1"/>
    </xf>
    <xf numFmtId="1" fontId="7" fillId="24" borderId="10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>
      <alignment vertical="top" wrapText="1"/>
    </xf>
    <xf numFmtId="0" fontId="2" fillId="24" borderId="0" xfId="0" applyFont="1" applyFill="1" applyAlignment="1">
      <alignment horizontal="center" vertical="top" wrapText="1"/>
    </xf>
    <xf numFmtId="1" fontId="2" fillId="24" borderId="0" xfId="0" applyNumberFormat="1" applyFont="1" applyFill="1" applyAlignment="1">
      <alignment horizontal="center" vertical="top" wrapText="1"/>
    </xf>
    <xf numFmtId="164" fontId="2" fillId="24" borderId="0" xfId="0" applyNumberFormat="1" applyFont="1" applyFill="1" applyAlignment="1">
      <alignment horizontal="center" vertical="top" wrapText="1"/>
    </xf>
    <xf numFmtId="0" fontId="2" fillId="24" borderId="0" xfId="0" applyNumberFormat="1" applyFont="1" applyFill="1" applyAlignment="1">
      <alignment horizontal="left" vertical="top" wrapText="1"/>
    </xf>
    <xf numFmtId="164" fontId="6" fillId="24" borderId="0" xfId="0" applyNumberFormat="1" applyFont="1" applyFill="1" applyAlignment="1">
      <alignment horizontal="center" vertical="top" wrapText="1"/>
    </xf>
    <xf numFmtId="171" fontId="13" fillId="24" borderId="10" xfId="0" applyNumberFormat="1" applyFont="1" applyFill="1" applyBorder="1" applyAlignment="1">
      <alignment horizontal="center" wrapText="1"/>
    </xf>
    <xf numFmtId="1" fontId="13" fillId="24" borderId="10" xfId="0" applyNumberFormat="1" applyFont="1" applyFill="1" applyBorder="1" applyAlignment="1">
      <alignment horizontal="center" wrapText="1"/>
    </xf>
    <xf numFmtId="165" fontId="13" fillId="24" borderId="10" xfId="0" applyNumberFormat="1" applyFont="1" applyFill="1" applyBorder="1" applyAlignment="1">
      <alignment horizontal="right" wrapText="1"/>
    </xf>
    <xf numFmtId="49" fontId="12" fillId="0" borderId="11" xfId="0" applyNumberFormat="1" applyFont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vertical="top" wrapText="1"/>
    </xf>
    <xf numFmtId="165" fontId="15" fillId="24" borderId="12" xfId="0" applyNumberFormat="1" applyFont="1" applyFill="1" applyBorder="1" applyAlignment="1">
      <alignment horizontal="right" vertical="center" wrapText="1"/>
    </xf>
    <xf numFmtId="165" fontId="7" fillId="24" borderId="12" xfId="0" applyNumberFormat="1" applyFont="1" applyFill="1" applyBorder="1" applyAlignment="1">
      <alignment horizontal="right" vertical="center" wrapText="1"/>
    </xf>
    <xf numFmtId="165" fontId="15" fillId="24" borderId="10" xfId="0" applyNumberFormat="1" applyFont="1" applyFill="1" applyBorder="1" applyAlignment="1">
      <alignment horizontal="right" vertical="center" wrapText="1"/>
    </xf>
    <xf numFmtId="165" fontId="7" fillId="24" borderId="1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1" fontId="13" fillId="24" borderId="10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36" fillId="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left" vertical="top" wrapText="1"/>
    </xf>
    <xf numFmtId="165" fontId="15" fillId="0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 vertical="center" wrapText="1"/>
    </xf>
    <xf numFmtId="0" fontId="7" fillId="24" borderId="10" xfId="53" applyFont="1" applyFill="1" applyBorder="1" applyAlignment="1">
      <alignment horizontal="center" vertical="top" wrapText="1"/>
      <protection/>
    </xf>
    <xf numFmtId="49" fontId="7" fillId="24" borderId="10" xfId="53" applyNumberFormat="1" applyFont="1" applyFill="1" applyBorder="1" applyAlignment="1">
      <alignment horizontal="right" wrapText="1"/>
      <protection/>
    </xf>
    <xf numFmtId="0" fontId="4" fillId="24" borderId="10" xfId="53" applyFont="1" applyFill="1" applyBorder="1" applyAlignment="1">
      <alignment horizontal="left" vertical="center" wrapText="1"/>
      <protection/>
    </xf>
    <xf numFmtId="165" fontId="7" fillId="24" borderId="10" xfId="53" applyNumberFormat="1" applyFont="1" applyFill="1" applyBorder="1" applyAlignment="1">
      <alignment horizontal="right" vertical="center" wrapText="1"/>
      <protection/>
    </xf>
    <xf numFmtId="0" fontId="9" fillId="24" borderId="10" xfId="53" applyFont="1" applyFill="1" applyBorder="1" applyAlignment="1">
      <alignment horizontal="center" wrapText="1"/>
      <protection/>
    </xf>
    <xf numFmtId="0" fontId="1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wrapText="1"/>
    </xf>
    <xf numFmtId="0" fontId="37" fillId="24" borderId="10" xfId="0" applyNumberFormat="1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164" fontId="6" fillId="0" borderId="0" xfId="0" applyNumberFormat="1" applyFont="1" applyAlignment="1">
      <alignment horizontal="center" vertical="top" wrapText="1"/>
    </xf>
    <xf numFmtId="0" fontId="14" fillId="24" borderId="12" xfId="0" applyNumberFormat="1" applyFont="1" applyFill="1" applyBorder="1" applyAlignment="1">
      <alignment horizontal="left" vertical="top" wrapText="1"/>
    </xf>
    <xf numFmtId="49" fontId="3" fillId="24" borderId="12" xfId="0" applyNumberFormat="1" applyFont="1" applyFill="1" applyBorder="1" applyAlignment="1">
      <alignment horizontal="center" vertical="center" wrapText="1"/>
    </xf>
    <xf numFmtId="1" fontId="3" fillId="24" borderId="12" xfId="0" applyNumberFormat="1" applyFont="1" applyFill="1" applyBorder="1" applyAlignment="1">
      <alignment horizontal="center" vertical="center" wrapText="1"/>
    </xf>
    <xf numFmtId="0" fontId="12" fillId="24" borderId="10" xfId="0" applyNumberFormat="1" applyFont="1" applyFill="1" applyBorder="1" applyAlignment="1">
      <alignment horizontal="center" vertical="center" wrapText="1"/>
    </xf>
    <xf numFmtId="0" fontId="35" fillId="24" borderId="10" xfId="0" applyNumberFormat="1" applyFont="1" applyFill="1" applyBorder="1" applyAlignment="1">
      <alignment horizontal="left" vertical="top" wrapText="1"/>
    </xf>
    <xf numFmtId="0" fontId="6" fillId="24" borderId="10" xfId="0" applyNumberFormat="1" applyFont="1" applyFill="1" applyBorder="1" applyAlignment="1">
      <alignment horizontal="center" vertical="center" wrapText="1"/>
    </xf>
    <xf numFmtId="165" fontId="7" fillId="24" borderId="10" xfId="0" applyNumberFormat="1" applyFont="1" applyFill="1" applyBorder="1" applyAlignment="1">
      <alignment horizontal="right" wrapText="1"/>
    </xf>
    <xf numFmtId="49" fontId="7" fillId="24" borderId="10" xfId="0" applyNumberFormat="1" applyFont="1" applyFill="1" applyBorder="1" applyAlignment="1">
      <alignment horizontal="center" wrapText="1"/>
    </xf>
    <xf numFmtId="1" fontId="7" fillId="24" borderId="10" xfId="0" applyNumberFormat="1" applyFont="1" applyFill="1" applyBorder="1" applyAlignment="1">
      <alignment horizontal="center" wrapText="1"/>
    </xf>
    <xf numFmtId="0" fontId="7" fillId="24" borderId="10" xfId="0" applyNumberFormat="1" applyFont="1" applyFill="1" applyBorder="1" applyAlignment="1">
      <alignment horizontal="center" wrapText="1"/>
    </xf>
    <xf numFmtId="165" fontId="7" fillId="24" borderId="10" xfId="0" applyNumberFormat="1" applyFont="1" applyFill="1" applyBorder="1" applyAlignment="1">
      <alignment horizontal="right" vertical="center"/>
    </xf>
    <xf numFmtId="0" fontId="8" fillId="24" borderId="10" xfId="0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10" fillId="24" borderId="0" xfId="0" applyNumberFormat="1" applyFont="1" applyFill="1" applyAlignment="1">
      <alignment horizontal="center" wrapText="1"/>
    </xf>
    <xf numFmtId="0" fontId="10" fillId="24" borderId="0" xfId="53" applyFont="1" applyFill="1" applyAlignment="1">
      <alignment horizontal="right"/>
      <protection/>
    </xf>
    <xf numFmtId="0" fontId="10" fillId="24" borderId="0" xfId="53" applyFont="1" applyFill="1" applyAlignment="1">
      <alignment horizontal="center" wrapText="1" shrinkToFit="1"/>
      <protection/>
    </xf>
    <xf numFmtId="0" fontId="10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99"/>
  <sheetViews>
    <sheetView showGridLines="0" zoomScale="90" zoomScaleNormal="90" zoomScalePageLayoutView="0" workbookViewId="0" topLeftCell="A1">
      <pane ySplit="9" topLeftCell="BM297" activePane="bottomLeft" state="frozen"/>
      <selection pane="topLeft" activeCell="A1" sqref="A1"/>
      <selection pane="bottomLeft" activeCell="N9" sqref="N9"/>
    </sheetView>
  </sheetViews>
  <sheetFormatPr defaultColWidth="9.140625" defaultRowHeight="12.75" outlineLevelRow="5"/>
  <cols>
    <col min="1" max="1" width="51.7109375" style="7" customWidth="1"/>
    <col min="2" max="2" width="7.00390625" style="12" customWidth="1"/>
    <col min="3" max="3" width="6.7109375" style="12" customWidth="1"/>
    <col min="4" max="4" width="5.7109375" style="33" customWidth="1"/>
    <col min="5" max="5" width="5.421875" style="39" customWidth="1"/>
    <col min="6" max="6" width="6.00390625" style="11" customWidth="1"/>
    <col min="7" max="7" width="12.7109375" style="15" customWidth="1"/>
    <col min="8" max="8" width="14.57421875" style="15" customWidth="1"/>
    <col min="9" max="9" width="12.7109375" style="15" customWidth="1"/>
    <col min="10" max="10" width="15.00390625" style="15" customWidth="1"/>
    <col min="11" max="11" width="13.28125" style="2" customWidth="1"/>
    <col min="12" max="16384" width="9.140625" style="2" customWidth="1"/>
  </cols>
  <sheetData>
    <row r="1" spans="5:11" ht="18.75">
      <c r="E1" s="34"/>
      <c r="F1" s="24"/>
      <c r="G1" s="125" t="s">
        <v>27</v>
      </c>
      <c r="H1" s="125"/>
      <c r="I1" s="125"/>
      <c r="J1" s="125"/>
      <c r="K1" s="125"/>
    </row>
    <row r="2" spans="5:11" ht="18.75">
      <c r="E2" s="34"/>
      <c r="F2" s="125" t="s">
        <v>322</v>
      </c>
      <c r="G2" s="125"/>
      <c r="H2" s="125"/>
      <c r="I2" s="125"/>
      <c r="J2" s="125"/>
      <c r="K2" s="125"/>
    </row>
    <row r="3" spans="5:11" ht="18.75">
      <c r="E3" s="34"/>
      <c r="F3" s="125" t="s">
        <v>171</v>
      </c>
      <c r="G3" s="125"/>
      <c r="H3" s="125"/>
      <c r="I3" s="125"/>
      <c r="J3" s="125"/>
      <c r="K3" s="125"/>
    </row>
    <row r="4" spans="5:11" ht="18.75" customHeight="1">
      <c r="E4" s="125" t="s">
        <v>323</v>
      </c>
      <c r="F4" s="125"/>
      <c r="G4" s="125"/>
      <c r="H4" s="125"/>
      <c r="I4" s="125"/>
      <c r="J4" s="125"/>
      <c r="K4" s="125"/>
    </row>
    <row r="5" spans="1:11" ht="18.75">
      <c r="A5" s="8"/>
      <c r="B5" s="1"/>
      <c r="C5" s="1"/>
      <c r="D5" s="35"/>
      <c r="E5" s="125"/>
      <c r="F5" s="125"/>
      <c r="G5" s="125"/>
      <c r="H5" s="125"/>
      <c r="I5" s="125"/>
      <c r="J5" s="125"/>
      <c r="K5" s="124"/>
    </row>
    <row r="6" spans="1:11" ht="33.75" customHeight="1">
      <c r="A6" s="126" t="s">
        <v>158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0" ht="12.75">
      <c r="A7" s="6"/>
      <c r="B7" s="3"/>
      <c r="C7" s="3"/>
      <c r="D7" s="36"/>
      <c r="E7" s="37"/>
      <c r="F7" s="9"/>
      <c r="G7" s="14"/>
      <c r="H7" s="14"/>
      <c r="I7" s="14"/>
      <c r="J7" s="14"/>
    </row>
    <row r="8" spans="1:10" ht="12.75">
      <c r="A8" s="6"/>
      <c r="B8" s="3"/>
      <c r="C8" s="3"/>
      <c r="D8" s="36"/>
      <c r="E8" s="37"/>
      <c r="F8" s="9"/>
      <c r="G8" s="14"/>
      <c r="H8" s="14"/>
      <c r="I8" s="14"/>
      <c r="J8" s="110" t="s">
        <v>43</v>
      </c>
    </row>
    <row r="9" spans="1:11" ht="91.5" customHeight="1">
      <c r="A9" s="32" t="s">
        <v>177</v>
      </c>
      <c r="B9" s="65" t="s">
        <v>82</v>
      </c>
      <c r="C9" s="62" t="s">
        <v>83</v>
      </c>
      <c r="D9" s="66" t="s">
        <v>50</v>
      </c>
      <c r="E9" s="67" t="s">
        <v>185</v>
      </c>
      <c r="F9" s="68" t="s">
        <v>51</v>
      </c>
      <c r="G9" s="69" t="s">
        <v>159</v>
      </c>
      <c r="H9" s="69" t="s">
        <v>160</v>
      </c>
      <c r="I9" s="69" t="s">
        <v>161</v>
      </c>
      <c r="J9" s="69" t="s">
        <v>45</v>
      </c>
      <c r="K9" s="69" t="s">
        <v>162</v>
      </c>
    </row>
    <row r="10" spans="1:11" ht="15.75" outlineLevel="1">
      <c r="A10" s="107" t="s">
        <v>208</v>
      </c>
      <c r="B10" s="18" t="s">
        <v>209</v>
      </c>
      <c r="C10" s="18"/>
      <c r="D10" s="18"/>
      <c r="E10" s="52" t="s">
        <v>176</v>
      </c>
      <c r="F10" s="116"/>
      <c r="G10" s="75">
        <f aca="true" t="shared" si="0" ref="G10:K11">SUM(G11)</f>
        <v>0</v>
      </c>
      <c r="H10" s="75">
        <f t="shared" si="0"/>
        <v>380</v>
      </c>
      <c r="I10" s="75">
        <f t="shared" si="0"/>
        <v>0</v>
      </c>
      <c r="J10" s="75">
        <f t="shared" si="0"/>
        <v>380</v>
      </c>
      <c r="K10" s="75">
        <f t="shared" si="0"/>
        <v>380</v>
      </c>
    </row>
    <row r="11" spans="1:11" ht="15.75" outlineLevel="1">
      <c r="A11" s="107" t="s">
        <v>293</v>
      </c>
      <c r="B11" s="18" t="s">
        <v>209</v>
      </c>
      <c r="C11" s="18" t="s">
        <v>224</v>
      </c>
      <c r="D11" s="18"/>
      <c r="E11" s="52"/>
      <c r="F11" s="31"/>
      <c r="G11" s="75">
        <f t="shared" si="0"/>
        <v>0</v>
      </c>
      <c r="H11" s="75">
        <f t="shared" si="0"/>
        <v>380</v>
      </c>
      <c r="I11" s="75">
        <f t="shared" si="0"/>
        <v>0</v>
      </c>
      <c r="J11" s="75">
        <f t="shared" si="0"/>
        <v>380</v>
      </c>
      <c r="K11" s="75">
        <f t="shared" si="0"/>
        <v>380</v>
      </c>
    </row>
    <row r="12" spans="1:11" ht="60.75" customHeight="1" outlineLevel="2">
      <c r="A12" s="107" t="s">
        <v>207</v>
      </c>
      <c r="B12" s="18" t="s">
        <v>209</v>
      </c>
      <c r="C12" s="18" t="s">
        <v>210</v>
      </c>
      <c r="D12" s="18"/>
      <c r="E12" s="52"/>
      <c r="F12" s="116"/>
      <c r="G12" s="75">
        <f>SUM(G13+G16)</f>
        <v>0</v>
      </c>
      <c r="H12" s="75">
        <f>SUM(H13+H16)</f>
        <v>380</v>
      </c>
      <c r="I12" s="75">
        <f>SUM(I13+I16)</f>
        <v>0</v>
      </c>
      <c r="J12" s="75">
        <f>SUM(J13+J16)</f>
        <v>380</v>
      </c>
      <c r="K12" s="75">
        <f>SUM(K13+K16)</f>
        <v>380</v>
      </c>
    </row>
    <row r="13" spans="1:11" ht="45" customHeight="1" outlineLevel="2">
      <c r="A13" s="107" t="s">
        <v>296</v>
      </c>
      <c r="B13" s="18" t="s">
        <v>209</v>
      </c>
      <c r="C13" s="18" t="s">
        <v>210</v>
      </c>
      <c r="D13" s="18" t="s">
        <v>188</v>
      </c>
      <c r="E13" s="52" t="s">
        <v>186</v>
      </c>
      <c r="F13" s="116"/>
      <c r="G13" s="75">
        <f>SUM(G14:G15)</f>
        <v>0</v>
      </c>
      <c r="H13" s="75">
        <f>SUM(H14:H15)</f>
        <v>379.9</v>
      </c>
      <c r="I13" s="75">
        <f>SUM(I14:I15)</f>
        <v>0</v>
      </c>
      <c r="J13" s="75">
        <f>SUM(J14:J15)</f>
        <v>379.9</v>
      </c>
      <c r="K13" s="75">
        <f>SUM(K14:K15)</f>
        <v>379.9</v>
      </c>
    </row>
    <row r="14" spans="1:11" ht="76.5" customHeight="1" outlineLevel="2">
      <c r="A14" s="107" t="s">
        <v>294</v>
      </c>
      <c r="B14" s="18" t="s">
        <v>209</v>
      </c>
      <c r="C14" s="18" t="s">
        <v>210</v>
      </c>
      <c r="D14" s="18" t="s">
        <v>188</v>
      </c>
      <c r="E14" s="52" t="s">
        <v>186</v>
      </c>
      <c r="F14" s="31">
        <v>100</v>
      </c>
      <c r="G14" s="75"/>
      <c r="H14" s="75">
        <v>332.4</v>
      </c>
      <c r="I14" s="75"/>
      <c r="J14" s="75">
        <v>332.4</v>
      </c>
      <c r="K14" s="75">
        <v>332.4</v>
      </c>
    </row>
    <row r="15" spans="1:11" s="4" customFormat="1" ht="31.5" outlineLevel="3">
      <c r="A15" s="107" t="s">
        <v>295</v>
      </c>
      <c r="B15" s="18" t="s">
        <v>209</v>
      </c>
      <c r="C15" s="18" t="s">
        <v>210</v>
      </c>
      <c r="D15" s="18" t="s">
        <v>188</v>
      </c>
      <c r="E15" s="52">
        <v>0</v>
      </c>
      <c r="F15" s="31">
        <v>200</v>
      </c>
      <c r="G15" s="75"/>
      <c r="H15" s="75">
        <v>47.5</v>
      </c>
      <c r="I15" s="75"/>
      <c r="J15" s="75">
        <v>47.5</v>
      </c>
      <c r="K15" s="75">
        <v>47.5</v>
      </c>
    </row>
    <row r="16" spans="1:11" s="4" customFormat="1" ht="47.25" outlineLevel="3">
      <c r="A16" s="107" t="s">
        <v>52</v>
      </c>
      <c r="B16" s="18" t="s">
        <v>209</v>
      </c>
      <c r="C16" s="18" t="s">
        <v>210</v>
      </c>
      <c r="D16" s="18" t="s">
        <v>193</v>
      </c>
      <c r="E16" s="52">
        <v>0</v>
      </c>
      <c r="F16" s="31"/>
      <c r="G16" s="117">
        <f>SUM(G17)</f>
        <v>0</v>
      </c>
      <c r="H16" s="117">
        <f>SUM(H17)</f>
        <v>0.1</v>
      </c>
      <c r="I16" s="117">
        <f>SUM(I17)</f>
        <v>0</v>
      </c>
      <c r="J16" s="117">
        <f>SUM(J17)</f>
        <v>0.1</v>
      </c>
      <c r="K16" s="117">
        <f>SUM(K17)</f>
        <v>0.1</v>
      </c>
    </row>
    <row r="17" spans="1:11" s="4" customFormat="1" ht="15.75" outlineLevel="3">
      <c r="A17" s="107" t="s">
        <v>32</v>
      </c>
      <c r="B17" s="18" t="s">
        <v>209</v>
      </c>
      <c r="C17" s="18" t="s">
        <v>210</v>
      </c>
      <c r="D17" s="18" t="s">
        <v>193</v>
      </c>
      <c r="E17" s="52">
        <v>0</v>
      </c>
      <c r="F17" s="31">
        <v>800</v>
      </c>
      <c r="G17" s="75"/>
      <c r="H17" s="75">
        <f>0.05+0.05</f>
        <v>0.1</v>
      </c>
      <c r="I17" s="75"/>
      <c r="J17" s="75">
        <f>0.05+0.05</f>
        <v>0.1</v>
      </c>
      <c r="K17" s="75">
        <f>0.05+0.05</f>
        <v>0.1</v>
      </c>
    </row>
    <row r="18" spans="1:11" s="4" customFormat="1" ht="31.5" outlineLevel="3">
      <c r="A18" s="107" t="s">
        <v>212</v>
      </c>
      <c r="B18" s="18" t="s">
        <v>213</v>
      </c>
      <c r="C18" s="18"/>
      <c r="D18" s="18"/>
      <c r="E18" s="52"/>
      <c r="F18" s="116"/>
      <c r="G18" s="75">
        <f>SUM(G19)</f>
        <v>0</v>
      </c>
      <c r="H18" s="75">
        <f aca="true" t="shared" si="1" ref="H18:K19">SUM(H19)</f>
        <v>1486</v>
      </c>
      <c r="I18" s="75">
        <f t="shared" si="1"/>
        <v>0</v>
      </c>
      <c r="J18" s="75">
        <f t="shared" si="1"/>
        <v>1486</v>
      </c>
      <c r="K18" s="75">
        <f t="shared" si="1"/>
        <v>1486</v>
      </c>
    </row>
    <row r="19" spans="1:11" s="4" customFormat="1" ht="15.75" outlineLevel="3">
      <c r="A19" s="107" t="s">
        <v>293</v>
      </c>
      <c r="B19" s="18" t="s">
        <v>213</v>
      </c>
      <c r="C19" s="18" t="s">
        <v>224</v>
      </c>
      <c r="D19" s="118"/>
      <c r="E19" s="119"/>
      <c r="F19" s="120"/>
      <c r="G19" s="75">
        <f>SUM(G20)</f>
        <v>0</v>
      </c>
      <c r="H19" s="75">
        <f t="shared" si="1"/>
        <v>1486</v>
      </c>
      <c r="I19" s="75">
        <f t="shared" si="1"/>
        <v>0</v>
      </c>
      <c r="J19" s="75">
        <f t="shared" si="1"/>
        <v>1486</v>
      </c>
      <c r="K19" s="75">
        <f t="shared" si="1"/>
        <v>1486</v>
      </c>
    </row>
    <row r="20" spans="1:11" s="4" customFormat="1" ht="56.25" customHeight="1" outlineLevel="3">
      <c r="A20" s="107" t="s">
        <v>215</v>
      </c>
      <c r="B20" s="18" t="s">
        <v>213</v>
      </c>
      <c r="C20" s="18" t="s">
        <v>214</v>
      </c>
      <c r="D20" s="18"/>
      <c r="E20" s="52"/>
      <c r="F20" s="116"/>
      <c r="G20" s="75">
        <f>SUM(G21+G24)</f>
        <v>0</v>
      </c>
      <c r="H20" s="75">
        <f>SUM(H21+H24)</f>
        <v>1486</v>
      </c>
      <c r="I20" s="75">
        <f>SUM(I21+I24)</f>
        <v>0</v>
      </c>
      <c r="J20" s="75">
        <f>SUM(J21+J24)</f>
        <v>1486</v>
      </c>
      <c r="K20" s="75">
        <f>SUM(K21+K24)</f>
        <v>1486</v>
      </c>
    </row>
    <row r="21" spans="1:11" s="4" customFormat="1" ht="51" customHeight="1" outlineLevel="3">
      <c r="A21" s="107" t="s">
        <v>296</v>
      </c>
      <c r="B21" s="18" t="s">
        <v>213</v>
      </c>
      <c r="C21" s="18" t="s">
        <v>214</v>
      </c>
      <c r="D21" s="18" t="s">
        <v>188</v>
      </c>
      <c r="E21" s="52" t="s">
        <v>186</v>
      </c>
      <c r="F21" s="116"/>
      <c r="G21" s="75">
        <f>SUM(G22:G23)</f>
        <v>0</v>
      </c>
      <c r="H21" s="75">
        <f>SUM(H22:H23)</f>
        <v>1485.5</v>
      </c>
      <c r="I21" s="75">
        <f>SUM(I22:I23)</f>
        <v>0</v>
      </c>
      <c r="J21" s="75">
        <f>SUM(J22:J23)</f>
        <v>1485.5</v>
      </c>
      <c r="K21" s="75">
        <f>SUM(K22:K23)</f>
        <v>1485.5</v>
      </c>
    </row>
    <row r="22" spans="1:11" s="4" customFormat="1" ht="78" customHeight="1" outlineLevel="3">
      <c r="A22" s="107" t="s">
        <v>294</v>
      </c>
      <c r="B22" s="18" t="s">
        <v>213</v>
      </c>
      <c r="C22" s="18" t="s">
        <v>214</v>
      </c>
      <c r="D22" s="18" t="s">
        <v>188</v>
      </c>
      <c r="E22" s="52" t="s">
        <v>186</v>
      </c>
      <c r="F22" s="31">
        <v>100</v>
      </c>
      <c r="G22" s="75"/>
      <c r="H22" s="75">
        <v>1460.8</v>
      </c>
      <c r="I22" s="75"/>
      <c r="J22" s="75">
        <v>1460.8</v>
      </c>
      <c r="K22" s="75">
        <v>1460.8</v>
      </c>
    </row>
    <row r="23" spans="1:11" s="4" customFormat="1" ht="31.5" outlineLevel="3">
      <c r="A23" s="107" t="s">
        <v>295</v>
      </c>
      <c r="B23" s="18" t="s">
        <v>213</v>
      </c>
      <c r="C23" s="18" t="s">
        <v>214</v>
      </c>
      <c r="D23" s="18" t="s">
        <v>188</v>
      </c>
      <c r="E23" s="52">
        <v>0</v>
      </c>
      <c r="F23" s="31">
        <v>200</v>
      </c>
      <c r="G23" s="75"/>
      <c r="H23" s="75">
        <v>24.7</v>
      </c>
      <c r="I23" s="75"/>
      <c r="J23" s="75">
        <v>24.7</v>
      </c>
      <c r="K23" s="75">
        <v>24.7</v>
      </c>
    </row>
    <row r="24" spans="1:11" s="4" customFormat="1" ht="47.25" outlineLevel="3">
      <c r="A24" s="107" t="s">
        <v>52</v>
      </c>
      <c r="B24" s="18" t="s">
        <v>213</v>
      </c>
      <c r="C24" s="18" t="s">
        <v>214</v>
      </c>
      <c r="D24" s="18" t="s">
        <v>193</v>
      </c>
      <c r="E24" s="52">
        <v>0</v>
      </c>
      <c r="F24" s="31"/>
      <c r="G24" s="117">
        <f>SUM(G25)</f>
        <v>0</v>
      </c>
      <c r="H24" s="117">
        <f>SUM(H25)</f>
        <v>0.5</v>
      </c>
      <c r="I24" s="117">
        <f>SUM(I25)</f>
        <v>0</v>
      </c>
      <c r="J24" s="117">
        <f>SUM(J25)</f>
        <v>0.5</v>
      </c>
      <c r="K24" s="117">
        <f>SUM(K25)</f>
        <v>0.5</v>
      </c>
    </row>
    <row r="25" spans="1:11" s="4" customFormat="1" ht="15.75" outlineLevel="3">
      <c r="A25" s="107" t="s">
        <v>32</v>
      </c>
      <c r="B25" s="18" t="s">
        <v>213</v>
      </c>
      <c r="C25" s="18" t="s">
        <v>214</v>
      </c>
      <c r="D25" s="18" t="s">
        <v>193</v>
      </c>
      <c r="E25" s="52">
        <v>0</v>
      </c>
      <c r="F25" s="31">
        <v>800</v>
      </c>
      <c r="G25" s="75"/>
      <c r="H25" s="75">
        <f>0.5</f>
        <v>0.5</v>
      </c>
      <c r="I25" s="75"/>
      <c r="J25" s="75">
        <f>0.5</f>
        <v>0.5</v>
      </c>
      <c r="K25" s="75">
        <f>0.5</f>
        <v>0.5</v>
      </c>
    </row>
    <row r="26" spans="1:11" s="4" customFormat="1" ht="31.5" outlineLevel="3">
      <c r="A26" s="107" t="s">
        <v>297</v>
      </c>
      <c r="B26" s="18" t="s">
        <v>222</v>
      </c>
      <c r="C26" s="18"/>
      <c r="D26" s="18"/>
      <c r="E26" s="52"/>
      <c r="F26" s="116"/>
      <c r="G26" s="75">
        <f>SUM(G27+G96+G101+G108+G130+G150+G153+G240+G259+G282+G285+G291+G295)</f>
        <v>-11040.799999999985</v>
      </c>
      <c r="H26" s="75">
        <f>SUM(H27+H96+H101+H108+H130+H150+H153+H240+H259+H282+H285+H291+H295)</f>
        <v>242264.80000000002</v>
      </c>
      <c r="I26" s="75">
        <f>SUM(I27+I96+I101+I108+I130+I150+I153+I240+I259+I282+I285+I291+I295)</f>
        <v>7103.399999999986</v>
      </c>
      <c r="J26" s="75">
        <f>SUM(J27+J96+J101+J108+J130+J150+J153+J240+J259+J282+J285+J291+J295)</f>
        <v>240254.8</v>
      </c>
      <c r="K26" s="75">
        <f>SUM(K27+K96+K101+K108+K130+K150+K153+K240+K259+K282+K285+K291+K295)</f>
        <v>242329.1</v>
      </c>
    </row>
    <row r="27" spans="1:11" s="4" customFormat="1" ht="15.75" outlineLevel="3">
      <c r="A27" s="107" t="s">
        <v>293</v>
      </c>
      <c r="B27" s="18" t="s">
        <v>222</v>
      </c>
      <c r="C27" s="18" t="s">
        <v>224</v>
      </c>
      <c r="D27" s="18"/>
      <c r="E27" s="52"/>
      <c r="F27" s="31"/>
      <c r="G27" s="75">
        <f>SUM(G28+G31+G56+G60+G63+G52)</f>
        <v>-5516.6900000000005</v>
      </c>
      <c r="H27" s="75">
        <f>SUM(H28+H31+H56+H60+H63+H52)</f>
        <v>55696.009999999995</v>
      </c>
      <c r="I27" s="75">
        <f>SUM(I28+I31+I56+I60+I63+I52)</f>
        <v>-3226.0899999999997</v>
      </c>
      <c r="J27" s="75">
        <f>SUM(J28+J31+J56+J60+J63+J52)</f>
        <v>55758.21</v>
      </c>
      <c r="K27" s="75">
        <f>SUM(K28+K31+K56+K60+K63+K52)</f>
        <v>55065.21</v>
      </c>
    </row>
    <row r="28" spans="1:11" s="4" customFormat="1" ht="47.25" outlineLevel="3">
      <c r="A28" s="107" t="s">
        <v>216</v>
      </c>
      <c r="B28" s="18" t="s">
        <v>222</v>
      </c>
      <c r="C28" s="18" t="s">
        <v>225</v>
      </c>
      <c r="D28" s="18"/>
      <c r="E28" s="52"/>
      <c r="F28" s="116"/>
      <c r="G28" s="75">
        <f>SUM(G30)</f>
        <v>1367.1</v>
      </c>
      <c r="H28" s="75">
        <f>SUM(H30)</f>
        <v>1367.1</v>
      </c>
      <c r="I28" s="75">
        <f>SUM(I30)</f>
        <v>1367.1</v>
      </c>
      <c r="J28" s="75">
        <f>SUM(J30)</f>
        <v>1367.1</v>
      </c>
      <c r="K28" s="75">
        <f>SUM(K30)</f>
        <v>1367.1</v>
      </c>
    </row>
    <row r="29" spans="1:11" s="4" customFormat="1" ht="53.25" customHeight="1" outlineLevel="3">
      <c r="A29" s="107" t="s">
        <v>296</v>
      </c>
      <c r="B29" s="18" t="s">
        <v>222</v>
      </c>
      <c r="C29" s="18" t="s">
        <v>225</v>
      </c>
      <c r="D29" s="18" t="s">
        <v>188</v>
      </c>
      <c r="E29" s="52" t="s">
        <v>186</v>
      </c>
      <c r="F29" s="31"/>
      <c r="G29" s="75">
        <f>SUM(G30)</f>
        <v>1367.1</v>
      </c>
      <c r="H29" s="75">
        <f>SUM(H30)</f>
        <v>1367.1</v>
      </c>
      <c r="I29" s="75">
        <f>SUM(I30)</f>
        <v>1367.1</v>
      </c>
      <c r="J29" s="75">
        <f>SUM(J30)</f>
        <v>1367.1</v>
      </c>
      <c r="K29" s="75">
        <f>SUM(K30)</f>
        <v>1367.1</v>
      </c>
    </row>
    <row r="30" spans="1:11" ht="82.5" customHeight="1" outlineLevel="1">
      <c r="A30" s="107" t="s">
        <v>294</v>
      </c>
      <c r="B30" s="18" t="s">
        <v>222</v>
      </c>
      <c r="C30" s="18" t="s">
        <v>225</v>
      </c>
      <c r="D30" s="18" t="s">
        <v>188</v>
      </c>
      <c r="E30" s="52">
        <v>0</v>
      </c>
      <c r="F30" s="31">
        <v>100</v>
      </c>
      <c r="G30" s="75">
        <v>1367.1</v>
      </c>
      <c r="H30" s="75">
        <v>1367.1</v>
      </c>
      <c r="I30" s="75">
        <v>1367.1</v>
      </c>
      <c r="J30" s="75">
        <v>1367.1</v>
      </c>
      <c r="K30" s="75">
        <v>1367.1</v>
      </c>
    </row>
    <row r="31" spans="1:11" ht="60.75" customHeight="1" outlineLevel="2">
      <c r="A31" s="109" t="s">
        <v>217</v>
      </c>
      <c r="B31" s="18" t="s">
        <v>222</v>
      </c>
      <c r="C31" s="18" t="s">
        <v>223</v>
      </c>
      <c r="D31" s="18"/>
      <c r="E31" s="52"/>
      <c r="F31" s="31"/>
      <c r="G31" s="75">
        <f>SUM(G32+G50)</f>
        <v>-1170.8999999999999</v>
      </c>
      <c r="H31" s="75">
        <f>SUM(H32+H50)</f>
        <v>27992.5</v>
      </c>
      <c r="I31" s="75">
        <f>SUM(I32+I50)</f>
        <v>-1108.6999999999998</v>
      </c>
      <c r="J31" s="75">
        <f>SUM(J32+J50)</f>
        <v>28054.7</v>
      </c>
      <c r="K31" s="75">
        <f>SUM(K32+K50)</f>
        <v>28091.7</v>
      </c>
    </row>
    <row r="32" spans="1:11" s="4" customFormat="1" ht="54.75" customHeight="1" outlineLevel="3">
      <c r="A32" s="107" t="s">
        <v>296</v>
      </c>
      <c r="B32" s="18" t="s">
        <v>222</v>
      </c>
      <c r="C32" s="18" t="s">
        <v>223</v>
      </c>
      <c r="D32" s="18" t="s">
        <v>188</v>
      </c>
      <c r="E32" s="52">
        <v>0</v>
      </c>
      <c r="F32" s="31"/>
      <c r="G32" s="75">
        <f>SUM(G33+G35+G38)</f>
        <v>-1170.8999999999999</v>
      </c>
      <c r="H32" s="75">
        <f>SUM(H33+H35+H38)</f>
        <v>27942.5</v>
      </c>
      <c r="I32" s="75">
        <f>SUM(I33+I35+I38)</f>
        <v>-1108.6999999999998</v>
      </c>
      <c r="J32" s="75">
        <f>SUM(J33+J35+J38)</f>
        <v>28004.7</v>
      </c>
      <c r="K32" s="75">
        <f>SUM(K33+K35+K38)</f>
        <v>28091.7</v>
      </c>
    </row>
    <row r="33" spans="1:11" s="4" customFormat="1" ht="21" customHeight="1" outlineLevel="3">
      <c r="A33" s="107" t="s">
        <v>234</v>
      </c>
      <c r="B33" s="18" t="s">
        <v>222</v>
      </c>
      <c r="C33" s="18" t="s">
        <v>223</v>
      </c>
      <c r="D33" s="18" t="s">
        <v>188</v>
      </c>
      <c r="E33" s="52">
        <v>0</v>
      </c>
      <c r="F33" s="31"/>
      <c r="G33" s="75">
        <f>SUM(G34)</f>
        <v>-1367.1</v>
      </c>
      <c r="H33" s="75">
        <f>SUM(H34)</f>
        <v>0</v>
      </c>
      <c r="I33" s="75">
        <f>SUM(I34)</f>
        <v>-1367.1</v>
      </c>
      <c r="J33" s="75">
        <f>SUM(J34)</f>
        <v>0</v>
      </c>
      <c r="K33" s="75">
        <f>SUM(K34)</f>
        <v>0</v>
      </c>
    </row>
    <row r="34" spans="1:11" s="4" customFormat="1" ht="86.25" customHeight="1" outlineLevel="3">
      <c r="A34" s="109" t="s">
        <v>294</v>
      </c>
      <c r="B34" s="18" t="s">
        <v>222</v>
      </c>
      <c r="C34" s="18" t="s">
        <v>223</v>
      </c>
      <c r="D34" s="18" t="s">
        <v>188</v>
      </c>
      <c r="E34" s="52">
        <v>0</v>
      </c>
      <c r="F34" s="31">
        <v>100</v>
      </c>
      <c r="G34" s="75">
        <v>-1367.1</v>
      </c>
      <c r="H34" s="75">
        <v>0</v>
      </c>
      <c r="I34" s="75">
        <v>-1367.1</v>
      </c>
      <c r="J34" s="75">
        <v>0</v>
      </c>
      <c r="K34" s="75">
        <v>0</v>
      </c>
    </row>
    <row r="35" spans="1:11" ht="15.75" outlineLevel="1">
      <c r="A35" s="109" t="s">
        <v>179</v>
      </c>
      <c r="B35" s="18" t="s">
        <v>222</v>
      </c>
      <c r="C35" s="18" t="s">
        <v>223</v>
      </c>
      <c r="D35" s="18" t="s">
        <v>188</v>
      </c>
      <c r="E35" s="52">
        <v>0</v>
      </c>
      <c r="F35" s="31"/>
      <c r="G35" s="75">
        <f>SUM(G36:G37)</f>
        <v>418</v>
      </c>
      <c r="H35" s="75">
        <f>SUM(H36:H37)</f>
        <v>26868.9</v>
      </c>
      <c r="I35" s="75">
        <f>SUM(I36:I37)</f>
        <v>418</v>
      </c>
      <c r="J35" s="75">
        <f>SUM(J36:J37)</f>
        <v>26868.9</v>
      </c>
      <c r="K35" s="75">
        <f>SUM(K36:K37)</f>
        <v>26868.9</v>
      </c>
    </row>
    <row r="36" spans="1:11" ht="80.25" customHeight="1" outlineLevel="2">
      <c r="A36" s="109" t="s">
        <v>294</v>
      </c>
      <c r="B36" s="18" t="s">
        <v>222</v>
      </c>
      <c r="C36" s="18" t="s">
        <v>223</v>
      </c>
      <c r="D36" s="18" t="s">
        <v>188</v>
      </c>
      <c r="E36" s="52">
        <v>0</v>
      </c>
      <c r="F36" s="31">
        <v>100</v>
      </c>
      <c r="G36" s="75">
        <v>418</v>
      </c>
      <c r="H36" s="75">
        <f>24910+418</f>
        <v>25328</v>
      </c>
      <c r="I36" s="75">
        <v>418</v>
      </c>
      <c r="J36" s="75">
        <f>24910+418</f>
        <v>25328</v>
      </c>
      <c r="K36" s="75">
        <f>24910+418</f>
        <v>25328</v>
      </c>
    </row>
    <row r="37" spans="1:11" ht="31.5">
      <c r="A37" s="109" t="s">
        <v>295</v>
      </c>
      <c r="B37" s="18" t="s">
        <v>222</v>
      </c>
      <c r="C37" s="18" t="s">
        <v>223</v>
      </c>
      <c r="D37" s="18" t="s">
        <v>188</v>
      </c>
      <c r="E37" s="52">
        <v>0</v>
      </c>
      <c r="F37" s="31">
        <v>200</v>
      </c>
      <c r="G37" s="75"/>
      <c r="H37" s="75">
        <v>1540.9</v>
      </c>
      <c r="I37" s="75"/>
      <c r="J37" s="75">
        <v>1540.9</v>
      </c>
      <c r="K37" s="75">
        <v>1540.9</v>
      </c>
    </row>
    <row r="38" spans="1:11" ht="50.25" customHeight="1" outlineLevel="2">
      <c r="A38" s="107" t="s">
        <v>296</v>
      </c>
      <c r="B38" s="18" t="s">
        <v>222</v>
      </c>
      <c r="C38" s="18" t="s">
        <v>223</v>
      </c>
      <c r="D38" s="18" t="s">
        <v>188</v>
      </c>
      <c r="E38" s="52" t="s">
        <v>186</v>
      </c>
      <c r="F38" s="116"/>
      <c r="G38" s="121">
        <f>SUM(G39+G42+G45+G48)</f>
        <v>-221.8</v>
      </c>
      <c r="H38" s="121">
        <f>SUM(H39+H42+H45+H48)</f>
        <v>1073.6</v>
      </c>
      <c r="I38" s="121">
        <f>SUM(I39+I42+I45+I48)</f>
        <v>-159.6</v>
      </c>
      <c r="J38" s="121">
        <f>SUM(J39+J42+J45+J48)</f>
        <v>1135.8</v>
      </c>
      <c r="K38" s="121">
        <f>SUM(K39+K42+K45+K48)</f>
        <v>1222.8</v>
      </c>
    </row>
    <row r="39" spans="1:11" ht="48.75" customHeight="1" outlineLevel="1">
      <c r="A39" s="107" t="s">
        <v>299</v>
      </c>
      <c r="B39" s="18" t="s">
        <v>222</v>
      </c>
      <c r="C39" s="18" t="s">
        <v>223</v>
      </c>
      <c r="D39" s="18" t="s">
        <v>188</v>
      </c>
      <c r="E39" s="52" t="s">
        <v>186</v>
      </c>
      <c r="F39" s="116"/>
      <c r="G39" s="75">
        <f>SUM(G40:G41)</f>
        <v>-74.7</v>
      </c>
      <c r="H39" s="75">
        <f>SUM(H40:H41)</f>
        <v>223.4</v>
      </c>
      <c r="I39" s="75">
        <f>SUM(I40:I41)</f>
        <v>-149.2</v>
      </c>
      <c r="J39" s="75">
        <f>SUM(J40:J41)</f>
        <v>148.9</v>
      </c>
      <c r="K39" s="75">
        <f>SUM(K40:K41)</f>
        <v>148.9</v>
      </c>
    </row>
    <row r="40" spans="1:11" ht="81.75" customHeight="1" outlineLevel="5">
      <c r="A40" s="107" t="s">
        <v>294</v>
      </c>
      <c r="B40" s="18" t="s">
        <v>222</v>
      </c>
      <c r="C40" s="18" t="s">
        <v>223</v>
      </c>
      <c r="D40" s="18" t="s">
        <v>188</v>
      </c>
      <c r="E40" s="52" t="s">
        <v>186</v>
      </c>
      <c r="F40" s="31">
        <v>100</v>
      </c>
      <c r="G40" s="121"/>
      <c r="H40" s="121">
        <v>216.3</v>
      </c>
      <c r="I40" s="121">
        <f>-67.4</f>
        <v>-67.4</v>
      </c>
      <c r="J40" s="121">
        <f>216.3-67.4</f>
        <v>148.9</v>
      </c>
      <c r="K40" s="121">
        <f>216.3-67.4</f>
        <v>148.9</v>
      </c>
    </row>
    <row r="41" spans="1:11" ht="31.5" outlineLevel="5">
      <c r="A41" s="107" t="s">
        <v>295</v>
      </c>
      <c r="B41" s="18" t="s">
        <v>222</v>
      </c>
      <c r="C41" s="18" t="s">
        <v>223</v>
      </c>
      <c r="D41" s="18" t="s">
        <v>188</v>
      </c>
      <c r="E41" s="52" t="s">
        <v>186</v>
      </c>
      <c r="F41" s="31">
        <v>200</v>
      </c>
      <c r="G41" s="121">
        <f>-74.7</f>
        <v>-74.7</v>
      </c>
      <c r="H41" s="121">
        <f>81.8-74.7</f>
        <v>7.099999999999994</v>
      </c>
      <c r="I41" s="121">
        <f>-81.8</f>
        <v>-81.8</v>
      </c>
      <c r="J41" s="121">
        <f>81.8-81.8</f>
        <v>0</v>
      </c>
      <c r="K41" s="121">
        <f>81.8-81.8</f>
        <v>0</v>
      </c>
    </row>
    <row r="42" spans="1:11" ht="33" customHeight="1" outlineLevel="5">
      <c r="A42" s="107" t="s">
        <v>300</v>
      </c>
      <c r="B42" s="18" t="s">
        <v>222</v>
      </c>
      <c r="C42" s="18" t="s">
        <v>223</v>
      </c>
      <c r="D42" s="18" t="s">
        <v>188</v>
      </c>
      <c r="E42" s="52" t="s">
        <v>186</v>
      </c>
      <c r="F42" s="116"/>
      <c r="G42" s="75">
        <f>SUM(G43:G44)</f>
        <v>-234.1</v>
      </c>
      <c r="H42" s="75">
        <f>SUM(H43:H44)</f>
        <v>447.2</v>
      </c>
      <c r="I42" s="75">
        <f>SUM(I43:I44)</f>
        <v>-10.4</v>
      </c>
      <c r="J42" s="75">
        <f>SUM(J43:J44)</f>
        <v>670.9</v>
      </c>
      <c r="K42" s="75">
        <f>SUM(K43:K44)</f>
        <v>670.9</v>
      </c>
    </row>
    <row r="43" spans="1:11" ht="76.5" customHeight="1" outlineLevel="2">
      <c r="A43" s="107" t="s">
        <v>294</v>
      </c>
      <c r="B43" s="18" t="s">
        <v>222</v>
      </c>
      <c r="C43" s="18" t="s">
        <v>223</v>
      </c>
      <c r="D43" s="18" t="s">
        <v>188</v>
      </c>
      <c r="E43" s="52" t="s">
        <v>186</v>
      </c>
      <c r="F43" s="31">
        <v>100</v>
      </c>
      <c r="G43" s="75">
        <f>-184.1</f>
        <v>-184.1</v>
      </c>
      <c r="H43" s="75">
        <f>581.2-2.6-184.1</f>
        <v>394.5</v>
      </c>
      <c r="I43" s="75"/>
      <c r="J43" s="75">
        <f>581.2-2.6</f>
        <v>578.6</v>
      </c>
      <c r="K43" s="75">
        <f>581.2-2.6</f>
        <v>578.6</v>
      </c>
    </row>
    <row r="44" spans="1:11" ht="31.5" outlineLevel="4">
      <c r="A44" s="107" t="s">
        <v>295</v>
      </c>
      <c r="B44" s="18" t="s">
        <v>222</v>
      </c>
      <c r="C44" s="18" t="s">
        <v>223</v>
      </c>
      <c r="D44" s="18" t="s">
        <v>188</v>
      </c>
      <c r="E44" s="52" t="s">
        <v>186</v>
      </c>
      <c r="F44" s="31">
        <v>200</v>
      </c>
      <c r="G44" s="75">
        <f>-50</f>
        <v>-50</v>
      </c>
      <c r="H44" s="75">
        <f>102.7-50</f>
        <v>52.7</v>
      </c>
      <c r="I44" s="75">
        <v>-10.4</v>
      </c>
      <c r="J44" s="75">
        <f>102.7-10.4</f>
        <v>92.3</v>
      </c>
      <c r="K44" s="75">
        <f>102.7-10.4</f>
        <v>92.3</v>
      </c>
    </row>
    <row r="45" spans="1:11" s="17" customFormat="1" ht="63" customHeight="1" outlineLevel="5">
      <c r="A45" s="107" t="s">
        <v>298</v>
      </c>
      <c r="B45" s="18" t="s">
        <v>222</v>
      </c>
      <c r="C45" s="18" t="s">
        <v>223</v>
      </c>
      <c r="D45" s="18" t="s">
        <v>188</v>
      </c>
      <c r="E45" s="52" t="s">
        <v>186</v>
      </c>
      <c r="F45" s="116"/>
      <c r="G45" s="75">
        <f>SUM(G46:G47)</f>
        <v>0</v>
      </c>
      <c r="H45" s="75">
        <f>SUM(H46:H47)</f>
        <v>316</v>
      </c>
      <c r="I45" s="75">
        <f>SUM(I46:I47)</f>
        <v>0</v>
      </c>
      <c r="J45" s="75">
        <f>SUM(J46:J47)</f>
        <v>316</v>
      </c>
      <c r="K45" s="75">
        <f>SUM(K46:K47)</f>
        <v>316</v>
      </c>
    </row>
    <row r="46" spans="1:11" ht="78.75" customHeight="1" outlineLevel="5">
      <c r="A46" s="107" t="s">
        <v>294</v>
      </c>
      <c r="B46" s="18" t="s">
        <v>222</v>
      </c>
      <c r="C46" s="18" t="s">
        <v>223</v>
      </c>
      <c r="D46" s="18" t="s">
        <v>188</v>
      </c>
      <c r="E46" s="52" t="s">
        <v>186</v>
      </c>
      <c r="F46" s="31">
        <v>100</v>
      </c>
      <c r="G46" s="121"/>
      <c r="H46" s="121">
        <f>297-7.9</f>
        <v>289.1</v>
      </c>
      <c r="I46" s="121"/>
      <c r="J46" s="121">
        <f>297-7.9</f>
        <v>289.1</v>
      </c>
      <c r="K46" s="121">
        <f>297-7.9</f>
        <v>289.1</v>
      </c>
    </row>
    <row r="47" spans="1:11" ht="31.5" outlineLevel="4">
      <c r="A47" s="107" t="s">
        <v>295</v>
      </c>
      <c r="B47" s="18" t="s">
        <v>222</v>
      </c>
      <c r="C47" s="18" t="s">
        <v>223</v>
      </c>
      <c r="D47" s="18" t="s">
        <v>188</v>
      </c>
      <c r="E47" s="52" t="s">
        <v>186</v>
      </c>
      <c r="F47" s="31">
        <v>200</v>
      </c>
      <c r="G47" s="121"/>
      <c r="H47" s="121">
        <v>26.9</v>
      </c>
      <c r="I47" s="121"/>
      <c r="J47" s="121">
        <v>26.9</v>
      </c>
      <c r="K47" s="121">
        <v>26.9</v>
      </c>
    </row>
    <row r="48" spans="1:11" ht="64.5" customHeight="1" outlineLevel="5">
      <c r="A48" s="107" t="s">
        <v>301</v>
      </c>
      <c r="B48" s="18" t="s">
        <v>222</v>
      </c>
      <c r="C48" s="18" t="s">
        <v>223</v>
      </c>
      <c r="D48" s="18" t="s">
        <v>188</v>
      </c>
      <c r="E48" s="52" t="s">
        <v>186</v>
      </c>
      <c r="F48" s="116"/>
      <c r="G48" s="75">
        <f>SUM(G49:G49)</f>
        <v>87</v>
      </c>
      <c r="H48" s="75">
        <f>SUM(H49:H49)</f>
        <v>87</v>
      </c>
      <c r="I48" s="75">
        <f>SUM(I49:I49)</f>
        <v>0</v>
      </c>
      <c r="J48" s="75">
        <f>SUM(J49:J49)</f>
        <v>0</v>
      </c>
      <c r="K48" s="75">
        <f>SUM(K49:K49)</f>
        <v>87</v>
      </c>
    </row>
    <row r="49" spans="1:11" ht="31.5" outlineLevel="5">
      <c r="A49" s="107" t="s">
        <v>295</v>
      </c>
      <c r="B49" s="18" t="s">
        <v>222</v>
      </c>
      <c r="C49" s="18" t="s">
        <v>223</v>
      </c>
      <c r="D49" s="18" t="s">
        <v>188</v>
      </c>
      <c r="E49" s="52" t="s">
        <v>186</v>
      </c>
      <c r="F49" s="31">
        <v>200</v>
      </c>
      <c r="G49" s="75">
        <v>87</v>
      </c>
      <c r="H49" s="75">
        <f>87</f>
        <v>87</v>
      </c>
      <c r="I49" s="75"/>
      <c r="J49" s="75">
        <v>0</v>
      </c>
      <c r="K49" s="75">
        <v>87</v>
      </c>
    </row>
    <row r="50" spans="1:11" ht="63" outlineLevel="2">
      <c r="A50" s="107" t="s">
        <v>125</v>
      </c>
      <c r="B50" s="18" t="s">
        <v>222</v>
      </c>
      <c r="C50" s="18" t="s">
        <v>223</v>
      </c>
      <c r="D50" s="18" t="s">
        <v>178</v>
      </c>
      <c r="E50" s="52">
        <v>0</v>
      </c>
      <c r="F50" s="31"/>
      <c r="G50" s="75">
        <f>SUM(G51)</f>
        <v>0</v>
      </c>
      <c r="H50" s="75">
        <f>SUM(H51)</f>
        <v>50</v>
      </c>
      <c r="I50" s="75">
        <f>SUM(I51)</f>
        <v>0</v>
      </c>
      <c r="J50" s="75">
        <f>SUM(J51)</f>
        <v>50</v>
      </c>
      <c r="K50" s="75">
        <f>SUM(K51)</f>
        <v>0</v>
      </c>
    </row>
    <row r="51" spans="1:11" ht="31.5" outlineLevel="2">
      <c r="A51" s="107" t="s">
        <v>295</v>
      </c>
      <c r="B51" s="18" t="s">
        <v>222</v>
      </c>
      <c r="C51" s="18" t="s">
        <v>223</v>
      </c>
      <c r="D51" s="18" t="s">
        <v>178</v>
      </c>
      <c r="E51" s="52">
        <v>0</v>
      </c>
      <c r="F51" s="31">
        <v>200</v>
      </c>
      <c r="G51" s="75"/>
      <c r="H51" s="75">
        <v>50</v>
      </c>
      <c r="I51" s="75"/>
      <c r="J51" s="75">
        <v>50</v>
      </c>
      <c r="K51" s="75">
        <v>0</v>
      </c>
    </row>
    <row r="52" spans="1:11" ht="15.75" outlineLevel="2">
      <c r="A52" s="107" t="s">
        <v>218</v>
      </c>
      <c r="B52" s="18" t="s">
        <v>222</v>
      </c>
      <c r="C52" s="18" t="s">
        <v>226</v>
      </c>
      <c r="D52" s="18"/>
      <c r="E52" s="52"/>
      <c r="F52" s="31"/>
      <c r="G52" s="75">
        <f aca="true" t="shared" si="2" ref="G52:K54">SUM(G53)</f>
        <v>0</v>
      </c>
      <c r="H52" s="75">
        <f t="shared" si="2"/>
        <v>0</v>
      </c>
      <c r="I52" s="75">
        <f t="shared" si="2"/>
        <v>0</v>
      </c>
      <c r="J52" s="75">
        <f t="shared" si="2"/>
        <v>0</v>
      </c>
      <c r="K52" s="75">
        <f t="shared" si="2"/>
        <v>0</v>
      </c>
    </row>
    <row r="53" spans="1:11" ht="48.75" customHeight="1" outlineLevel="2">
      <c r="A53" s="107" t="s">
        <v>131</v>
      </c>
      <c r="B53" s="18" t="s">
        <v>222</v>
      </c>
      <c r="C53" s="18" t="s">
        <v>226</v>
      </c>
      <c r="D53" s="18" t="s">
        <v>193</v>
      </c>
      <c r="E53" s="52">
        <v>0</v>
      </c>
      <c r="F53" s="31"/>
      <c r="G53" s="75">
        <f t="shared" si="2"/>
        <v>0</v>
      </c>
      <c r="H53" s="75">
        <f t="shared" si="2"/>
        <v>0</v>
      </c>
      <c r="I53" s="75">
        <f t="shared" si="2"/>
        <v>0</v>
      </c>
      <c r="J53" s="75">
        <f t="shared" si="2"/>
        <v>0</v>
      </c>
      <c r="K53" s="75">
        <f t="shared" si="2"/>
        <v>0</v>
      </c>
    </row>
    <row r="54" spans="1:11" ht="47.25" outlineLevel="2">
      <c r="A54" s="107" t="s">
        <v>52</v>
      </c>
      <c r="B54" s="18" t="s">
        <v>222</v>
      </c>
      <c r="C54" s="18" t="s">
        <v>226</v>
      </c>
      <c r="D54" s="18" t="s">
        <v>193</v>
      </c>
      <c r="E54" s="52">
        <v>0</v>
      </c>
      <c r="F54" s="31"/>
      <c r="G54" s="75">
        <f t="shared" si="2"/>
        <v>0</v>
      </c>
      <c r="H54" s="75">
        <f t="shared" si="2"/>
        <v>0</v>
      </c>
      <c r="I54" s="75">
        <f t="shared" si="2"/>
        <v>0</v>
      </c>
      <c r="J54" s="75">
        <f t="shared" si="2"/>
        <v>0</v>
      </c>
      <c r="K54" s="75">
        <f t="shared" si="2"/>
        <v>0</v>
      </c>
    </row>
    <row r="55" spans="1:11" ht="31.5" outlineLevel="2">
      <c r="A55" s="107" t="s">
        <v>295</v>
      </c>
      <c r="B55" s="18" t="s">
        <v>222</v>
      </c>
      <c r="C55" s="18" t="s">
        <v>226</v>
      </c>
      <c r="D55" s="18" t="s">
        <v>193</v>
      </c>
      <c r="E55" s="52">
        <v>0</v>
      </c>
      <c r="F55" s="31">
        <v>200</v>
      </c>
      <c r="G55" s="75"/>
      <c r="H55" s="75">
        <v>0</v>
      </c>
      <c r="I55" s="75"/>
      <c r="J55" s="75">
        <v>0</v>
      </c>
      <c r="K55" s="75">
        <v>0</v>
      </c>
    </row>
    <row r="56" spans="1:11" ht="31.5" outlineLevel="2">
      <c r="A56" s="107" t="s">
        <v>219</v>
      </c>
      <c r="B56" s="18" t="s">
        <v>222</v>
      </c>
      <c r="C56" s="18" t="s">
        <v>227</v>
      </c>
      <c r="D56" s="18"/>
      <c r="E56" s="52"/>
      <c r="F56" s="31"/>
      <c r="G56" s="75">
        <f aca="true" t="shared" si="3" ref="G56:K57">SUM(G57)</f>
        <v>0</v>
      </c>
      <c r="H56" s="75">
        <f t="shared" si="3"/>
        <v>0</v>
      </c>
      <c r="I56" s="75">
        <f t="shared" si="3"/>
        <v>0</v>
      </c>
      <c r="J56" s="75">
        <f t="shared" si="3"/>
        <v>0</v>
      </c>
      <c r="K56" s="75">
        <f t="shared" si="3"/>
        <v>0</v>
      </c>
    </row>
    <row r="57" spans="1:11" ht="15.75" outlineLevel="5">
      <c r="A57" s="107" t="s">
        <v>220</v>
      </c>
      <c r="B57" s="18" t="s">
        <v>222</v>
      </c>
      <c r="C57" s="18" t="s">
        <v>227</v>
      </c>
      <c r="D57" s="18" t="s">
        <v>193</v>
      </c>
      <c r="E57" s="52" t="s">
        <v>186</v>
      </c>
      <c r="F57" s="31"/>
      <c r="G57" s="75">
        <f t="shared" si="3"/>
        <v>0</v>
      </c>
      <c r="H57" s="75">
        <f t="shared" si="3"/>
        <v>0</v>
      </c>
      <c r="I57" s="75">
        <f t="shared" si="3"/>
        <v>0</v>
      </c>
      <c r="J57" s="75">
        <f t="shared" si="3"/>
        <v>0</v>
      </c>
      <c r="K57" s="75">
        <f t="shared" si="3"/>
        <v>0</v>
      </c>
    </row>
    <row r="58" spans="1:11" ht="47.25" outlineLevel="2">
      <c r="A58" s="107" t="s">
        <v>52</v>
      </c>
      <c r="B58" s="18" t="s">
        <v>222</v>
      </c>
      <c r="C58" s="18" t="s">
        <v>227</v>
      </c>
      <c r="D58" s="18" t="s">
        <v>193</v>
      </c>
      <c r="E58" s="52" t="s">
        <v>186</v>
      </c>
      <c r="F58" s="31"/>
      <c r="G58" s="75">
        <f aca="true" t="shared" si="4" ref="G58:K61">SUM(G59)</f>
        <v>0</v>
      </c>
      <c r="H58" s="75">
        <f t="shared" si="4"/>
        <v>0</v>
      </c>
      <c r="I58" s="75">
        <f t="shared" si="4"/>
        <v>0</v>
      </c>
      <c r="J58" s="75">
        <f t="shared" si="4"/>
        <v>0</v>
      </c>
      <c r="K58" s="75">
        <f t="shared" si="4"/>
        <v>0</v>
      </c>
    </row>
    <row r="59" spans="1:11" ht="31.5" outlineLevel="5">
      <c r="A59" s="107" t="s">
        <v>295</v>
      </c>
      <c r="B59" s="18" t="s">
        <v>222</v>
      </c>
      <c r="C59" s="18" t="s">
        <v>227</v>
      </c>
      <c r="D59" s="18" t="s">
        <v>193</v>
      </c>
      <c r="E59" s="52">
        <v>0</v>
      </c>
      <c r="F59" s="31">
        <v>200</v>
      </c>
      <c r="G59" s="75"/>
      <c r="H59" s="75">
        <v>0</v>
      </c>
      <c r="I59" s="75"/>
      <c r="J59" s="75">
        <v>0</v>
      </c>
      <c r="K59" s="75">
        <v>0</v>
      </c>
    </row>
    <row r="60" spans="1:11" ht="15.75" outlineLevel="1">
      <c r="A60" s="107" t="s">
        <v>221</v>
      </c>
      <c r="B60" s="18" t="s">
        <v>222</v>
      </c>
      <c r="C60" s="18" t="s">
        <v>228</v>
      </c>
      <c r="D60" s="18"/>
      <c r="E60" s="52"/>
      <c r="F60" s="31"/>
      <c r="G60" s="75">
        <f t="shared" si="4"/>
        <v>0</v>
      </c>
      <c r="H60" s="75">
        <f t="shared" si="4"/>
        <v>320</v>
      </c>
      <c r="I60" s="75">
        <f t="shared" si="4"/>
        <v>0</v>
      </c>
      <c r="J60" s="75">
        <f t="shared" si="4"/>
        <v>320</v>
      </c>
      <c r="K60" s="75">
        <f t="shared" si="4"/>
        <v>320</v>
      </c>
    </row>
    <row r="61" spans="1:11" ht="47.25" outlineLevel="2">
      <c r="A61" s="107" t="s">
        <v>52</v>
      </c>
      <c r="B61" s="18" t="s">
        <v>222</v>
      </c>
      <c r="C61" s="18" t="s">
        <v>228</v>
      </c>
      <c r="D61" s="18" t="s">
        <v>193</v>
      </c>
      <c r="E61" s="52" t="s">
        <v>186</v>
      </c>
      <c r="F61" s="31"/>
      <c r="G61" s="75">
        <f t="shared" si="4"/>
        <v>0</v>
      </c>
      <c r="H61" s="75">
        <f t="shared" si="4"/>
        <v>320</v>
      </c>
      <c r="I61" s="75">
        <f t="shared" si="4"/>
        <v>0</v>
      </c>
      <c r="J61" s="75">
        <f t="shared" si="4"/>
        <v>320</v>
      </c>
      <c r="K61" s="75">
        <f t="shared" si="4"/>
        <v>320</v>
      </c>
    </row>
    <row r="62" spans="1:11" ht="15.75" outlineLevel="2">
      <c r="A62" s="107" t="s">
        <v>32</v>
      </c>
      <c r="B62" s="18" t="s">
        <v>222</v>
      </c>
      <c r="C62" s="18" t="s">
        <v>228</v>
      </c>
      <c r="D62" s="18" t="s">
        <v>193</v>
      </c>
      <c r="E62" s="52" t="s">
        <v>186</v>
      </c>
      <c r="F62" s="31">
        <v>800</v>
      </c>
      <c r="G62" s="75"/>
      <c r="H62" s="75">
        <v>320</v>
      </c>
      <c r="I62" s="75"/>
      <c r="J62" s="75">
        <v>320</v>
      </c>
      <c r="K62" s="75">
        <v>320</v>
      </c>
    </row>
    <row r="63" spans="1:11" ht="15.75" outlineLevel="2">
      <c r="A63" s="107" t="s">
        <v>229</v>
      </c>
      <c r="B63" s="18" t="s">
        <v>222</v>
      </c>
      <c r="C63" s="18" t="s">
        <v>211</v>
      </c>
      <c r="D63" s="18"/>
      <c r="E63" s="52"/>
      <c r="F63" s="31"/>
      <c r="G63" s="75">
        <f>SUM(G64+G67+G73+G77+G79+G81+G85+G88+G95+G75+G71+G92)</f>
        <v>-5712.89</v>
      </c>
      <c r="H63" s="75">
        <f>SUM(H64+H67+H73+H77+H79+H81+H85+H88+H95+H75+H71+H92)</f>
        <v>26016.41</v>
      </c>
      <c r="I63" s="75">
        <f>SUM(I64+I67+I73+I77+I79+I81+I85+I88+I95+I75+I71+I92)</f>
        <v>-3484.49</v>
      </c>
      <c r="J63" s="75">
        <f>SUM(J64+J67+J73+J77+J79+J81+J85+J88+J95+J75+J71+J92)</f>
        <v>26016.41</v>
      </c>
      <c r="K63" s="75">
        <f>SUM(K64+K67+K73+K77+K79+K81+K85+K88+K95+K75+K71+K92)</f>
        <v>25286.41</v>
      </c>
    </row>
    <row r="64" spans="1:11" ht="62.25" customHeight="1" outlineLevel="2">
      <c r="A64" s="107" t="s">
        <v>126</v>
      </c>
      <c r="B64" s="18" t="s">
        <v>222</v>
      </c>
      <c r="C64" s="18" t="s">
        <v>211</v>
      </c>
      <c r="D64" s="18" t="s">
        <v>182</v>
      </c>
      <c r="E64" s="52">
        <v>0</v>
      </c>
      <c r="F64" s="31"/>
      <c r="G64" s="75">
        <f aca="true" t="shared" si="5" ref="G64:K65">SUM(G65)</f>
        <v>0</v>
      </c>
      <c r="H64" s="75">
        <f t="shared" si="5"/>
        <v>300</v>
      </c>
      <c r="I64" s="75">
        <f t="shared" si="5"/>
        <v>0</v>
      </c>
      <c r="J64" s="75">
        <f t="shared" si="5"/>
        <v>300</v>
      </c>
      <c r="K64" s="75">
        <f t="shared" si="5"/>
        <v>0</v>
      </c>
    </row>
    <row r="65" spans="1:11" ht="47.25" outlineLevel="2">
      <c r="A65" s="107" t="s">
        <v>101</v>
      </c>
      <c r="B65" s="18" t="s">
        <v>222</v>
      </c>
      <c r="C65" s="18" t="s">
        <v>211</v>
      </c>
      <c r="D65" s="18" t="s">
        <v>182</v>
      </c>
      <c r="E65" s="52">
        <v>4</v>
      </c>
      <c r="F65" s="31"/>
      <c r="G65" s="75">
        <f t="shared" si="5"/>
        <v>0</v>
      </c>
      <c r="H65" s="75">
        <f t="shared" si="5"/>
        <v>300</v>
      </c>
      <c r="I65" s="75">
        <f t="shared" si="5"/>
        <v>0</v>
      </c>
      <c r="J65" s="75">
        <f t="shared" si="5"/>
        <v>300</v>
      </c>
      <c r="K65" s="75">
        <f t="shared" si="5"/>
        <v>0</v>
      </c>
    </row>
    <row r="66" spans="1:11" ht="37.5" customHeight="1" outlineLevel="2">
      <c r="A66" s="107" t="s">
        <v>53</v>
      </c>
      <c r="B66" s="18" t="s">
        <v>222</v>
      </c>
      <c r="C66" s="18" t="s">
        <v>211</v>
      </c>
      <c r="D66" s="18" t="s">
        <v>182</v>
      </c>
      <c r="E66" s="52">
        <v>4</v>
      </c>
      <c r="F66" s="31">
        <v>600</v>
      </c>
      <c r="G66" s="75"/>
      <c r="H66" s="75">
        <v>300</v>
      </c>
      <c r="I66" s="75"/>
      <c r="J66" s="75">
        <v>300</v>
      </c>
      <c r="K66" s="75">
        <v>0</v>
      </c>
    </row>
    <row r="67" spans="1:11" ht="65.25" customHeight="1" outlineLevel="2">
      <c r="A67" s="107" t="s">
        <v>127</v>
      </c>
      <c r="B67" s="18" t="s">
        <v>222</v>
      </c>
      <c r="C67" s="18" t="s">
        <v>211</v>
      </c>
      <c r="D67" s="18" t="s">
        <v>189</v>
      </c>
      <c r="E67" s="52">
        <v>0</v>
      </c>
      <c r="F67" s="31"/>
      <c r="G67" s="75">
        <f>SUM(G68:G70)</f>
        <v>80</v>
      </c>
      <c r="H67" s="75">
        <f>SUM(H68:H70)</f>
        <v>100</v>
      </c>
      <c r="I67" s="75">
        <f>SUM(I68:I70)</f>
        <v>80</v>
      </c>
      <c r="J67" s="75">
        <f>SUM(J68:J70)</f>
        <v>100</v>
      </c>
      <c r="K67" s="75">
        <f>SUM(K68:K70)</f>
        <v>0</v>
      </c>
    </row>
    <row r="68" spans="1:11" ht="31.5" outlineLevel="2">
      <c r="A68" s="107" t="s">
        <v>295</v>
      </c>
      <c r="B68" s="18" t="s">
        <v>222</v>
      </c>
      <c r="C68" s="18" t="s">
        <v>211</v>
      </c>
      <c r="D68" s="18" t="s">
        <v>189</v>
      </c>
      <c r="E68" s="52">
        <v>0</v>
      </c>
      <c r="F68" s="31">
        <v>200</v>
      </c>
      <c r="G68" s="75"/>
      <c r="H68" s="75">
        <v>0</v>
      </c>
      <c r="I68" s="75"/>
      <c r="J68" s="75">
        <v>0</v>
      </c>
      <c r="K68" s="75">
        <v>0</v>
      </c>
    </row>
    <row r="69" spans="1:11" ht="29.25" customHeight="1" outlineLevel="2">
      <c r="A69" s="107" t="s">
        <v>53</v>
      </c>
      <c r="B69" s="18" t="s">
        <v>222</v>
      </c>
      <c r="C69" s="18" t="s">
        <v>211</v>
      </c>
      <c r="D69" s="18" t="s">
        <v>189</v>
      </c>
      <c r="E69" s="52">
        <v>0</v>
      </c>
      <c r="F69" s="31">
        <v>600</v>
      </c>
      <c r="G69" s="75">
        <f>80</f>
        <v>80</v>
      </c>
      <c r="H69" s="75">
        <f>20+80</f>
        <v>100</v>
      </c>
      <c r="I69" s="75">
        <f>80</f>
        <v>80</v>
      </c>
      <c r="J69" s="75">
        <f>20+80</f>
        <v>100</v>
      </c>
      <c r="K69" s="75">
        <v>0</v>
      </c>
    </row>
    <row r="70" spans="1:11" ht="32.25" customHeight="1" outlineLevel="2">
      <c r="A70" s="107" t="s">
        <v>157</v>
      </c>
      <c r="B70" s="18" t="s">
        <v>222</v>
      </c>
      <c r="C70" s="18" t="s">
        <v>211</v>
      </c>
      <c r="D70" s="18" t="s">
        <v>189</v>
      </c>
      <c r="E70" s="52">
        <v>0</v>
      </c>
      <c r="F70" s="31">
        <v>600</v>
      </c>
      <c r="G70" s="75"/>
      <c r="H70" s="75">
        <v>0</v>
      </c>
      <c r="I70" s="75"/>
      <c r="J70" s="75">
        <v>0</v>
      </c>
      <c r="K70" s="75">
        <v>0</v>
      </c>
    </row>
    <row r="71" spans="1:11" ht="31.5" outlineLevel="2">
      <c r="A71" s="107" t="s">
        <v>135</v>
      </c>
      <c r="B71" s="18" t="s">
        <v>222</v>
      </c>
      <c r="C71" s="18" t="s">
        <v>211</v>
      </c>
      <c r="D71" s="18" t="s">
        <v>187</v>
      </c>
      <c r="E71" s="52">
        <v>0</v>
      </c>
      <c r="F71" s="31"/>
      <c r="G71" s="75">
        <f>SUM(G72)</f>
        <v>25</v>
      </c>
      <c r="H71" s="75">
        <f>SUM(H72)</f>
        <v>75</v>
      </c>
      <c r="I71" s="75">
        <f>SUM(I72)</f>
        <v>25</v>
      </c>
      <c r="J71" s="75">
        <f>SUM(J72)</f>
        <v>75</v>
      </c>
      <c r="K71" s="75">
        <f>SUM(K72)</f>
        <v>0</v>
      </c>
    </row>
    <row r="72" spans="1:11" ht="31.5" outlineLevel="2">
      <c r="A72" s="107" t="s">
        <v>295</v>
      </c>
      <c r="B72" s="18" t="s">
        <v>222</v>
      </c>
      <c r="C72" s="18" t="s">
        <v>211</v>
      </c>
      <c r="D72" s="18" t="s">
        <v>187</v>
      </c>
      <c r="E72" s="52">
        <v>0</v>
      </c>
      <c r="F72" s="31">
        <v>200</v>
      </c>
      <c r="G72" s="75">
        <v>25</v>
      </c>
      <c r="H72" s="75">
        <f>50+25</f>
        <v>75</v>
      </c>
      <c r="I72" s="75">
        <v>25</v>
      </c>
      <c r="J72" s="75">
        <f>50+25</f>
        <v>75</v>
      </c>
      <c r="K72" s="75">
        <v>0</v>
      </c>
    </row>
    <row r="73" spans="1:11" ht="68.25" customHeight="1" outlineLevel="2">
      <c r="A73" s="107" t="s">
        <v>124</v>
      </c>
      <c r="B73" s="18" t="s">
        <v>222</v>
      </c>
      <c r="C73" s="18" t="s">
        <v>211</v>
      </c>
      <c r="D73" s="18" t="s">
        <v>40</v>
      </c>
      <c r="E73" s="52">
        <v>0</v>
      </c>
      <c r="F73" s="31"/>
      <c r="G73" s="75">
        <f>SUM(G74)</f>
        <v>0</v>
      </c>
      <c r="H73" s="75">
        <f>SUM(H74)</f>
        <v>100</v>
      </c>
      <c r="I73" s="75">
        <f>SUM(I74)</f>
        <v>0</v>
      </c>
      <c r="J73" s="75">
        <f>SUM(J74)</f>
        <v>100</v>
      </c>
      <c r="K73" s="75">
        <f>SUM(K74)</f>
        <v>0</v>
      </c>
    </row>
    <row r="74" spans="1:11" ht="31.5" outlineLevel="2">
      <c r="A74" s="107" t="s">
        <v>295</v>
      </c>
      <c r="B74" s="18" t="s">
        <v>222</v>
      </c>
      <c r="C74" s="18" t="s">
        <v>211</v>
      </c>
      <c r="D74" s="18" t="s">
        <v>40</v>
      </c>
      <c r="E74" s="52">
        <v>0</v>
      </c>
      <c r="F74" s="31">
        <v>200</v>
      </c>
      <c r="G74" s="75"/>
      <c r="H74" s="75">
        <v>100</v>
      </c>
      <c r="I74" s="75"/>
      <c r="J74" s="75">
        <v>100</v>
      </c>
      <c r="K74" s="75">
        <v>0</v>
      </c>
    </row>
    <row r="75" spans="1:11" ht="63" outlineLevel="2">
      <c r="A75" s="107" t="s">
        <v>144</v>
      </c>
      <c r="B75" s="18" t="s">
        <v>222</v>
      </c>
      <c r="C75" s="18" t="s">
        <v>211</v>
      </c>
      <c r="D75" s="18" t="s">
        <v>97</v>
      </c>
      <c r="E75" s="52">
        <v>0</v>
      </c>
      <c r="F75" s="31"/>
      <c r="G75" s="75">
        <f>SUM(G76)</f>
        <v>0</v>
      </c>
      <c r="H75" s="75">
        <f>SUM(H76)</f>
        <v>50</v>
      </c>
      <c r="I75" s="75">
        <f>SUM(I76)</f>
        <v>0</v>
      </c>
      <c r="J75" s="75">
        <f>SUM(J76)</f>
        <v>50</v>
      </c>
      <c r="K75" s="75">
        <f>SUM(K76)</f>
        <v>0</v>
      </c>
    </row>
    <row r="76" spans="1:11" ht="31.5" outlineLevel="2">
      <c r="A76" s="107" t="s">
        <v>295</v>
      </c>
      <c r="B76" s="18" t="s">
        <v>222</v>
      </c>
      <c r="C76" s="18" t="s">
        <v>211</v>
      </c>
      <c r="D76" s="18" t="s">
        <v>97</v>
      </c>
      <c r="E76" s="52">
        <v>0</v>
      </c>
      <c r="F76" s="31">
        <v>200</v>
      </c>
      <c r="G76" s="75"/>
      <c r="H76" s="75">
        <v>50</v>
      </c>
      <c r="I76" s="75"/>
      <c r="J76" s="75">
        <v>50</v>
      </c>
      <c r="K76" s="75">
        <v>0</v>
      </c>
    </row>
    <row r="77" spans="1:11" ht="129.75" customHeight="1" outlineLevel="2">
      <c r="A77" s="107" t="s">
        <v>147</v>
      </c>
      <c r="B77" s="18" t="s">
        <v>222</v>
      </c>
      <c r="C77" s="18" t="s">
        <v>211</v>
      </c>
      <c r="D77" s="18" t="s">
        <v>195</v>
      </c>
      <c r="E77" s="52">
        <v>0</v>
      </c>
      <c r="F77" s="31"/>
      <c r="G77" s="75">
        <f>SUM(G78)</f>
        <v>0</v>
      </c>
      <c r="H77" s="75">
        <f>SUM(H78)</f>
        <v>3800</v>
      </c>
      <c r="I77" s="75">
        <f>SUM(I78)</f>
        <v>1300</v>
      </c>
      <c r="J77" s="75">
        <f>SUM(J78)</f>
        <v>3800</v>
      </c>
      <c r="K77" s="75">
        <f>SUM(K78)</f>
        <v>0</v>
      </c>
    </row>
    <row r="78" spans="1:11" ht="30.75" customHeight="1" outlineLevel="2">
      <c r="A78" s="107" t="s">
        <v>53</v>
      </c>
      <c r="B78" s="18" t="s">
        <v>222</v>
      </c>
      <c r="C78" s="18" t="s">
        <v>211</v>
      </c>
      <c r="D78" s="18" t="s">
        <v>195</v>
      </c>
      <c r="E78" s="52">
        <v>0</v>
      </c>
      <c r="F78" s="31">
        <v>600</v>
      </c>
      <c r="G78" s="75"/>
      <c r="H78" s="75">
        <f>3800</f>
        <v>3800</v>
      </c>
      <c r="I78" s="75">
        <f>1300</f>
        <v>1300</v>
      </c>
      <c r="J78" s="75">
        <f>2500+1300</f>
        <v>3800</v>
      </c>
      <c r="K78" s="75">
        <v>0</v>
      </c>
    </row>
    <row r="79" spans="1:11" ht="96.75" customHeight="1" outlineLevel="2">
      <c r="A79" s="107" t="s">
        <v>100</v>
      </c>
      <c r="B79" s="18" t="s">
        <v>222</v>
      </c>
      <c r="C79" s="18" t="s">
        <v>211</v>
      </c>
      <c r="D79" s="18" t="s">
        <v>191</v>
      </c>
      <c r="E79" s="52">
        <v>0</v>
      </c>
      <c r="F79" s="31"/>
      <c r="G79" s="75">
        <f>SUM(G80)</f>
        <v>0</v>
      </c>
      <c r="H79" s="75">
        <f>SUM(H80)</f>
        <v>19000</v>
      </c>
      <c r="I79" s="75">
        <f>SUM(I80)</f>
        <v>6500</v>
      </c>
      <c r="J79" s="75">
        <f>SUM(J80)</f>
        <v>19000</v>
      </c>
      <c r="K79" s="75">
        <f>SUM(K80)</f>
        <v>22675</v>
      </c>
    </row>
    <row r="80" spans="1:11" ht="35.25" customHeight="1" outlineLevel="2">
      <c r="A80" s="107" t="s">
        <v>53</v>
      </c>
      <c r="B80" s="18" t="s">
        <v>222</v>
      </c>
      <c r="C80" s="18" t="s">
        <v>211</v>
      </c>
      <c r="D80" s="18" t="s">
        <v>191</v>
      </c>
      <c r="E80" s="52">
        <v>0</v>
      </c>
      <c r="F80" s="31">
        <v>600</v>
      </c>
      <c r="G80" s="75"/>
      <c r="H80" s="75">
        <f>19000</f>
        <v>19000</v>
      </c>
      <c r="I80" s="75">
        <f>10175-3675</f>
        <v>6500</v>
      </c>
      <c r="J80" s="75">
        <f>12500+10175-3675</f>
        <v>19000</v>
      </c>
      <c r="K80" s="75">
        <v>22675</v>
      </c>
    </row>
    <row r="81" spans="1:11" ht="31.5" outlineLevel="2">
      <c r="A81" s="107" t="s">
        <v>232</v>
      </c>
      <c r="B81" s="18" t="s">
        <v>222</v>
      </c>
      <c r="C81" s="18" t="s">
        <v>211</v>
      </c>
      <c r="D81" s="18"/>
      <c r="E81" s="52"/>
      <c r="F81" s="31"/>
      <c r="G81" s="75">
        <f>SUM(G82)</f>
        <v>1061.4</v>
      </c>
      <c r="H81" s="75">
        <f>SUM(H82)</f>
        <v>1061.4</v>
      </c>
      <c r="I81" s="75">
        <f>SUM(I82)</f>
        <v>1061.4</v>
      </c>
      <c r="J81" s="75">
        <f>SUM(J82)</f>
        <v>1061.4</v>
      </c>
      <c r="K81" s="75">
        <f>SUM(K82)</f>
        <v>1061.4</v>
      </c>
    </row>
    <row r="82" spans="1:11" ht="48" customHeight="1" outlineLevel="2">
      <c r="A82" s="107" t="s">
        <v>296</v>
      </c>
      <c r="B82" s="18" t="s">
        <v>222</v>
      </c>
      <c r="C82" s="18" t="s">
        <v>211</v>
      </c>
      <c r="D82" s="18" t="s">
        <v>188</v>
      </c>
      <c r="E82" s="52">
        <v>0</v>
      </c>
      <c r="F82" s="31"/>
      <c r="G82" s="75">
        <f>SUM(G83:G84)</f>
        <v>1061.4</v>
      </c>
      <c r="H82" s="75">
        <f>SUM(H83:H84)</f>
        <v>1061.4</v>
      </c>
      <c r="I82" s="75">
        <f>SUM(I83:I84)</f>
        <v>1061.4</v>
      </c>
      <c r="J82" s="75">
        <f>SUM(J83:J84)</f>
        <v>1061.4</v>
      </c>
      <c r="K82" s="75">
        <f>SUM(K83:K84)</f>
        <v>1061.4</v>
      </c>
    </row>
    <row r="83" spans="1:11" ht="75" customHeight="1" outlineLevel="2">
      <c r="A83" s="107" t="s">
        <v>294</v>
      </c>
      <c r="B83" s="18" t="s">
        <v>222</v>
      </c>
      <c r="C83" s="18" t="s">
        <v>211</v>
      </c>
      <c r="D83" s="18" t="s">
        <v>188</v>
      </c>
      <c r="E83" s="52" t="s">
        <v>186</v>
      </c>
      <c r="F83" s="31">
        <v>100</v>
      </c>
      <c r="G83" s="75">
        <v>841.7</v>
      </c>
      <c r="H83" s="75">
        <v>841.7</v>
      </c>
      <c r="I83" s="75">
        <v>841.7</v>
      </c>
      <c r="J83" s="75">
        <v>841.7</v>
      </c>
      <c r="K83" s="75">
        <v>841.7</v>
      </c>
    </row>
    <row r="84" spans="1:11" ht="31.5" outlineLevel="2">
      <c r="A84" s="107" t="s">
        <v>295</v>
      </c>
      <c r="B84" s="18" t="s">
        <v>222</v>
      </c>
      <c r="C84" s="18" t="s">
        <v>211</v>
      </c>
      <c r="D84" s="18" t="s">
        <v>188</v>
      </c>
      <c r="E84" s="52" t="s">
        <v>186</v>
      </c>
      <c r="F84" s="31">
        <v>200</v>
      </c>
      <c r="G84" s="75">
        <v>219.7</v>
      </c>
      <c r="H84" s="75">
        <v>219.7</v>
      </c>
      <c r="I84" s="75">
        <v>219.7</v>
      </c>
      <c r="J84" s="75">
        <v>219.7</v>
      </c>
      <c r="K84" s="75">
        <v>219.7</v>
      </c>
    </row>
    <row r="85" spans="1:11" ht="47.25" outlineLevel="2">
      <c r="A85" s="107" t="s">
        <v>230</v>
      </c>
      <c r="B85" s="18" t="s">
        <v>222</v>
      </c>
      <c r="C85" s="18" t="s">
        <v>211</v>
      </c>
      <c r="D85" s="18" t="s">
        <v>193</v>
      </c>
      <c r="E85" s="52">
        <v>0</v>
      </c>
      <c r="F85" s="31"/>
      <c r="G85" s="75">
        <f aca="true" t="shared" si="6" ref="G85:K86">SUM(G86)</f>
        <v>0</v>
      </c>
      <c r="H85" s="75">
        <f t="shared" si="6"/>
        <v>100</v>
      </c>
      <c r="I85" s="75">
        <f t="shared" si="6"/>
        <v>0</v>
      </c>
      <c r="J85" s="75">
        <f t="shared" si="6"/>
        <v>100</v>
      </c>
      <c r="K85" s="75">
        <f t="shared" si="6"/>
        <v>100</v>
      </c>
    </row>
    <row r="86" spans="1:11" ht="47.25" outlineLevel="2">
      <c r="A86" s="107" t="s">
        <v>52</v>
      </c>
      <c r="B86" s="18" t="s">
        <v>222</v>
      </c>
      <c r="C86" s="18" t="s">
        <v>211</v>
      </c>
      <c r="D86" s="18" t="s">
        <v>193</v>
      </c>
      <c r="E86" s="52" t="s">
        <v>186</v>
      </c>
      <c r="F86" s="31"/>
      <c r="G86" s="75">
        <f t="shared" si="6"/>
        <v>0</v>
      </c>
      <c r="H86" s="75">
        <f t="shared" si="6"/>
        <v>100</v>
      </c>
      <c r="I86" s="75">
        <f t="shared" si="6"/>
        <v>0</v>
      </c>
      <c r="J86" s="75">
        <f t="shared" si="6"/>
        <v>100</v>
      </c>
      <c r="K86" s="75">
        <f t="shared" si="6"/>
        <v>100</v>
      </c>
    </row>
    <row r="87" spans="1:11" ht="31.5" outlineLevel="5">
      <c r="A87" s="107" t="s">
        <v>295</v>
      </c>
      <c r="B87" s="18" t="s">
        <v>222</v>
      </c>
      <c r="C87" s="18" t="s">
        <v>211</v>
      </c>
      <c r="D87" s="18" t="s">
        <v>193</v>
      </c>
      <c r="E87" s="52" t="s">
        <v>186</v>
      </c>
      <c r="F87" s="31">
        <v>200</v>
      </c>
      <c r="G87" s="75"/>
      <c r="H87" s="75">
        <v>100</v>
      </c>
      <c r="I87" s="75"/>
      <c r="J87" s="75">
        <v>100</v>
      </c>
      <c r="K87" s="75">
        <v>100</v>
      </c>
    </row>
    <row r="88" spans="1:11" ht="31.5" outlineLevel="5">
      <c r="A88" s="107" t="s">
        <v>231</v>
      </c>
      <c r="B88" s="18" t="s">
        <v>222</v>
      </c>
      <c r="C88" s="18" t="s">
        <v>211</v>
      </c>
      <c r="D88" s="18" t="s">
        <v>193</v>
      </c>
      <c r="E88" s="52">
        <v>0</v>
      </c>
      <c r="F88" s="31"/>
      <c r="G88" s="75">
        <f>SUM(G89)</f>
        <v>-499.99</v>
      </c>
      <c r="H88" s="75">
        <f>SUM(H89)</f>
        <v>1430.01</v>
      </c>
      <c r="I88" s="75">
        <f>SUM(I89)</f>
        <v>-699.99</v>
      </c>
      <c r="J88" s="75">
        <f>SUM(J89)</f>
        <v>1430.01</v>
      </c>
      <c r="K88" s="75">
        <f>SUM(K89)</f>
        <v>1450.01</v>
      </c>
    </row>
    <row r="89" spans="1:11" ht="47.25" outlineLevel="5">
      <c r="A89" s="107" t="s">
        <v>52</v>
      </c>
      <c r="B89" s="18" t="s">
        <v>222</v>
      </c>
      <c r="C89" s="18" t="s">
        <v>211</v>
      </c>
      <c r="D89" s="18" t="s">
        <v>193</v>
      </c>
      <c r="E89" s="52" t="s">
        <v>186</v>
      </c>
      <c r="F89" s="31"/>
      <c r="G89" s="75">
        <f>SUM(G90:G91)</f>
        <v>-499.99</v>
      </c>
      <c r="H89" s="75">
        <f>SUM(H90:H91)</f>
        <v>1430.01</v>
      </c>
      <c r="I89" s="75">
        <f>SUM(I90:I91)</f>
        <v>-699.99</v>
      </c>
      <c r="J89" s="75">
        <f>SUM(J90:J91)</f>
        <v>1430.01</v>
      </c>
      <c r="K89" s="75">
        <f>SUM(K90:K91)</f>
        <v>1450.01</v>
      </c>
    </row>
    <row r="90" spans="1:11" ht="31.5" outlineLevel="5">
      <c r="A90" s="107" t="s">
        <v>295</v>
      </c>
      <c r="B90" s="18" t="s">
        <v>222</v>
      </c>
      <c r="C90" s="18" t="s">
        <v>211</v>
      </c>
      <c r="D90" s="18" t="s">
        <v>193</v>
      </c>
      <c r="E90" s="52">
        <v>0</v>
      </c>
      <c r="F90" s="31">
        <v>200</v>
      </c>
      <c r="G90" s="75">
        <f>-500+0.01</f>
        <v>-499.99</v>
      </c>
      <c r="H90" s="75">
        <f>975+1000-500+300-500+0.01</f>
        <v>1275.01</v>
      </c>
      <c r="I90" s="75">
        <f>-700+0.01</f>
        <v>-699.99</v>
      </c>
      <c r="J90" s="75">
        <f>975+1000-150+150-700+0.01</f>
        <v>1275.01</v>
      </c>
      <c r="K90" s="75">
        <f>1295+0.01</f>
        <v>1295.01</v>
      </c>
    </row>
    <row r="91" spans="1:11" ht="15.75" outlineLevel="5">
      <c r="A91" s="107" t="s">
        <v>32</v>
      </c>
      <c r="B91" s="18" t="s">
        <v>222</v>
      </c>
      <c r="C91" s="18" t="s">
        <v>211</v>
      </c>
      <c r="D91" s="18" t="s">
        <v>193</v>
      </c>
      <c r="E91" s="52">
        <v>0</v>
      </c>
      <c r="F91" s="31">
        <v>800</v>
      </c>
      <c r="G91" s="75"/>
      <c r="H91" s="75">
        <v>155</v>
      </c>
      <c r="I91" s="75"/>
      <c r="J91" s="75">
        <v>155</v>
      </c>
      <c r="K91" s="75">
        <v>155</v>
      </c>
    </row>
    <row r="92" spans="1:11" ht="48" customHeight="1" outlineLevel="5">
      <c r="A92" s="107" t="s">
        <v>132</v>
      </c>
      <c r="B92" s="18" t="s">
        <v>222</v>
      </c>
      <c r="C92" s="18" t="s">
        <v>211</v>
      </c>
      <c r="D92" s="18" t="s">
        <v>193</v>
      </c>
      <c r="E92" s="52">
        <v>0</v>
      </c>
      <c r="F92" s="31"/>
      <c r="G92" s="75">
        <f>SUM(G93)</f>
        <v>0</v>
      </c>
      <c r="H92" s="75">
        <f>SUM(H93)</f>
        <v>0</v>
      </c>
      <c r="I92" s="75">
        <f>SUM(I93)</f>
        <v>0</v>
      </c>
      <c r="J92" s="75">
        <f>SUM(J93)</f>
        <v>0</v>
      </c>
      <c r="K92" s="75">
        <f>SUM(K93)</f>
        <v>0</v>
      </c>
    </row>
    <row r="93" spans="1:11" ht="47.25" outlineLevel="5">
      <c r="A93" s="107" t="s">
        <v>52</v>
      </c>
      <c r="B93" s="18" t="s">
        <v>222</v>
      </c>
      <c r="C93" s="18" t="s">
        <v>211</v>
      </c>
      <c r="D93" s="18" t="s">
        <v>193</v>
      </c>
      <c r="E93" s="52" t="s">
        <v>186</v>
      </c>
      <c r="F93" s="31"/>
      <c r="G93" s="75">
        <f>SUM(G94:G94)</f>
        <v>0</v>
      </c>
      <c r="H93" s="75">
        <f>SUM(H94:H94)</f>
        <v>0</v>
      </c>
      <c r="I93" s="75">
        <f>SUM(I94:I94)</f>
        <v>0</v>
      </c>
      <c r="J93" s="75">
        <f>SUM(J94:J94)</f>
        <v>0</v>
      </c>
      <c r="K93" s="75">
        <f>SUM(K94:K94)</f>
        <v>0</v>
      </c>
    </row>
    <row r="94" spans="1:11" ht="31.5" outlineLevel="5">
      <c r="A94" s="107" t="s">
        <v>295</v>
      </c>
      <c r="B94" s="18" t="s">
        <v>222</v>
      </c>
      <c r="C94" s="18" t="s">
        <v>211</v>
      </c>
      <c r="D94" s="18" t="s">
        <v>193</v>
      </c>
      <c r="E94" s="52">
        <v>0</v>
      </c>
      <c r="F94" s="31">
        <v>200</v>
      </c>
      <c r="G94" s="75"/>
      <c r="H94" s="75">
        <v>0</v>
      </c>
      <c r="I94" s="75"/>
      <c r="J94" s="75">
        <v>0</v>
      </c>
      <c r="K94" s="75">
        <v>0</v>
      </c>
    </row>
    <row r="95" spans="1:11" ht="15.75" outlineLevel="5">
      <c r="A95" s="107" t="s">
        <v>233</v>
      </c>
      <c r="B95" s="18" t="s">
        <v>222</v>
      </c>
      <c r="C95" s="18" t="s">
        <v>211</v>
      </c>
      <c r="D95" s="18" t="s">
        <v>193</v>
      </c>
      <c r="E95" s="52">
        <v>0</v>
      </c>
      <c r="F95" s="31"/>
      <c r="G95" s="75">
        <f>-418-39.6-80-25-100+50-20-25+100+6.5-5828.2</f>
        <v>-6379.3</v>
      </c>
      <c r="H95" s="75">
        <f>6379.3-418-39.6-80-25-100+50-20-25+100+6.5-5828.2</f>
        <v>0</v>
      </c>
      <c r="I95" s="75">
        <f>-418-39.6-80-25-100+50-20-25+100+6.5-11199.8</f>
        <v>-11750.9</v>
      </c>
      <c r="J95" s="75">
        <f>11750.9-418-39.6-80-25-100+50-20-25+100+6.5-11199.8</f>
        <v>0</v>
      </c>
      <c r="K95" s="75">
        <v>0</v>
      </c>
    </row>
    <row r="96" spans="1:11" ht="15.75" outlineLevel="1">
      <c r="A96" s="107" t="s">
        <v>235</v>
      </c>
      <c r="B96" s="18" t="s">
        <v>222</v>
      </c>
      <c r="C96" s="18" t="s">
        <v>310</v>
      </c>
      <c r="D96" s="18"/>
      <c r="E96" s="52"/>
      <c r="F96" s="31"/>
      <c r="G96" s="75"/>
      <c r="H96" s="75">
        <f aca="true" t="shared" si="7" ref="H96:K99">SUM(H97)</f>
        <v>20</v>
      </c>
      <c r="I96" s="75">
        <f t="shared" si="7"/>
        <v>0</v>
      </c>
      <c r="J96" s="75">
        <f t="shared" si="7"/>
        <v>20</v>
      </c>
      <c r="K96" s="75">
        <f t="shared" si="7"/>
        <v>20</v>
      </c>
    </row>
    <row r="97" spans="1:11" ht="15.75" outlineLevel="2">
      <c r="A97" s="107" t="s">
        <v>236</v>
      </c>
      <c r="B97" s="18" t="s">
        <v>222</v>
      </c>
      <c r="C97" s="18" t="s">
        <v>237</v>
      </c>
      <c r="D97" s="18"/>
      <c r="E97" s="52"/>
      <c r="F97" s="31"/>
      <c r="G97" s="75">
        <f>SUM(G98)</f>
        <v>0</v>
      </c>
      <c r="H97" s="75">
        <f t="shared" si="7"/>
        <v>20</v>
      </c>
      <c r="I97" s="75">
        <f t="shared" si="7"/>
        <v>0</v>
      </c>
      <c r="J97" s="75">
        <f t="shared" si="7"/>
        <v>20</v>
      </c>
      <c r="K97" s="75">
        <f t="shared" si="7"/>
        <v>20</v>
      </c>
    </row>
    <row r="98" spans="1:11" ht="31.5" outlineLevel="5">
      <c r="A98" s="107" t="s">
        <v>194</v>
      </c>
      <c r="B98" s="18" t="s">
        <v>222</v>
      </c>
      <c r="C98" s="18" t="s">
        <v>237</v>
      </c>
      <c r="D98" s="18"/>
      <c r="E98" s="52"/>
      <c r="F98" s="31"/>
      <c r="G98" s="75">
        <f>SUM(G99)</f>
        <v>0</v>
      </c>
      <c r="H98" s="75">
        <f t="shared" si="7"/>
        <v>20</v>
      </c>
      <c r="I98" s="75">
        <f t="shared" si="7"/>
        <v>0</v>
      </c>
      <c r="J98" s="75">
        <f t="shared" si="7"/>
        <v>20</v>
      </c>
      <c r="K98" s="75">
        <f t="shared" si="7"/>
        <v>20</v>
      </c>
    </row>
    <row r="99" spans="1:11" ht="47.25" outlineLevel="5">
      <c r="A99" s="107" t="s">
        <v>52</v>
      </c>
      <c r="B99" s="18" t="s">
        <v>222</v>
      </c>
      <c r="C99" s="18" t="s">
        <v>237</v>
      </c>
      <c r="D99" s="18" t="s">
        <v>193</v>
      </c>
      <c r="E99" s="52">
        <v>0</v>
      </c>
      <c r="F99" s="31"/>
      <c r="G99" s="75">
        <f>SUM(G100)</f>
        <v>0</v>
      </c>
      <c r="H99" s="75">
        <f t="shared" si="7"/>
        <v>20</v>
      </c>
      <c r="I99" s="75">
        <f t="shared" si="7"/>
        <v>0</v>
      </c>
      <c r="J99" s="75">
        <f t="shared" si="7"/>
        <v>20</v>
      </c>
      <c r="K99" s="75">
        <f t="shared" si="7"/>
        <v>20</v>
      </c>
    </row>
    <row r="100" spans="1:11" ht="31.5" outlineLevel="5">
      <c r="A100" s="107" t="s">
        <v>295</v>
      </c>
      <c r="B100" s="18" t="s">
        <v>222</v>
      </c>
      <c r="C100" s="18" t="s">
        <v>237</v>
      </c>
      <c r="D100" s="18" t="s">
        <v>193</v>
      </c>
      <c r="E100" s="52">
        <v>0</v>
      </c>
      <c r="F100" s="31">
        <v>200</v>
      </c>
      <c r="G100" s="75"/>
      <c r="H100" s="75">
        <v>20</v>
      </c>
      <c r="I100" s="75"/>
      <c r="J100" s="75">
        <v>20</v>
      </c>
      <c r="K100" s="75">
        <v>20</v>
      </c>
    </row>
    <row r="101" spans="1:11" ht="31.5" outlineLevel="5">
      <c r="A101" s="107" t="s">
        <v>315</v>
      </c>
      <c r="B101" s="18" t="s">
        <v>222</v>
      </c>
      <c r="C101" s="18" t="s">
        <v>311</v>
      </c>
      <c r="D101" s="18"/>
      <c r="E101" s="52"/>
      <c r="F101" s="31"/>
      <c r="G101" s="75">
        <f>SUM(G102+G105)</f>
        <v>0</v>
      </c>
      <c r="H101" s="75">
        <f>SUM(H102+H105)</f>
        <v>70</v>
      </c>
      <c r="I101" s="75">
        <f>SUM(I102+I105)</f>
        <v>0</v>
      </c>
      <c r="J101" s="75">
        <f>SUM(J102+J105)</f>
        <v>70</v>
      </c>
      <c r="K101" s="75">
        <f>SUM(K102+K105)</f>
        <v>70</v>
      </c>
    </row>
    <row r="102" spans="1:11" ht="47.25" customHeight="1" outlineLevel="1">
      <c r="A102" s="107" t="s">
        <v>316</v>
      </c>
      <c r="B102" s="18" t="s">
        <v>222</v>
      </c>
      <c r="C102" s="18" t="s">
        <v>238</v>
      </c>
      <c r="D102" s="18"/>
      <c r="E102" s="52"/>
      <c r="F102" s="31"/>
      <c r="G102" s="75">
        <f>SUM(G103)</f>
        <v>0</v>
      </c>
      <c r="H102" s="75">
        <f aca="true" t="shared" si="8" ref="H102:K103">SUM(H103)</f>
        <v>50</v>
      </c>
      <c r="I102" s="75">
        <f t="shared" si="8"/>
        <v>0</v>
      </c>
      <c r="J102" s="75">
        <f t="shared" si="8"/>
        <v>50</v>
      </c>
      <c r="K102" s="75">
        <f t="shared" si="8"/>
        <v>50</v>
      </c>
    </row>
    <row r="103" spans="1:11" ht="45" customHeight="1" outlineLevel="2">
      <c r="A103" s="107" t="s">
        <v>52</v>
      </c>
      <c r="B103" s="18" t="s">
        <v>222</v>
      </c>
      <c r="C103" s="18" t="s">
        <v>238</v>
      </c>
      <c r="D103" s="18" t="s">
        <v>193</v>
      </c>
      <c r="E103" s="52">
        <v>0</v>
      </c>
      <c r="F103" s="31"/>
      <c r="G103" s="75">
        <f>SUM(G104)</f>
        <v>0</v>
      </c>
      <c r="H103" s="75">
        <f t="shared" si="8"/>
        <v>50</v>
      </c>
      <c r="I103" s="75">
        <f t="shared" si="8"/>
        <v>0</v>
      </c>
      <c r="J103" s="75">
        <f t="shared" si="8"/>
        <v>50</v>
      </c>
      <c r="K103" s="75">
        <f t="shared" si="8"/>
        <v>50</v>
      </c>
    </row>
    <row r="104" spans="1:11" ht="31.5" outlineLevel="3">
      <c r="A104" s="107" t="s">
        <v>295</v>
      </c>
      <c r="B104" s="18" t="s">
        <v>222</v>
      </c>
      <c r="C104" s="18" t="s">
        <v>238</v>
      </c>
      <c r="D104" s="18" t="s">
        <v>193</v>
      </c>
      <c r="E104" s="52">
        <v>0</v>
      </c>
      <c r="F104" s="31">
        <v>200</v>
      </c>
      <c r="G104" s="75"/>
      <c r="H104" s="75">
        <v>50</v>
      </c>
      <c r="I104" s="75"/>
      <c r="J104" s="75">
        <v>50</v>
      </c>
      <c r="K104" s="75">
        <v>50</v>
      </c>
    </row>
    <row r="105" spans="1:11" ht="34.5" customHeight="1" outlineLevel="3">
      <c r="A105" s="107" t="s">
        <v>317</v>
      </c>
      <c r="B105" s="18" t="s">
        <v>222</v>
      </c>
      <c r="C105" s="18" t="s">
        <v>238</v>
      </c>
      <c r="D105" s="18"/>
      <c r="E105" s="52"/>
      <c r="F105" s="31"/>
      <c r="G105" s="121">
        <f aca="true" t="shared" si="9" ref="G105:K106">SUM(G106)</f>
        <v>0</v>
      </c>
      <c r="H105" s="121">
        <f t="shared" si="9"/>
        <v>20</v>
      </c>
      <c r="I105" s="121">
        <f t="shared" si="9"/>
        <v>0</v>
      </c>
      <c r="J105" s="121">
        <f t="shared" si="9"/>
        <v>20</v>
      </c>
      <c r="K105" s="121">
        <f t="shared" si="9"/>
        <v>20</v>
      </c>
    </row>
    <row r="106" spans="1:11" ht="47.25" outlineLevel="1">
      <c r="A106" s="107" t="s">
        <v>52</v>
      </c>
      <c r="B106" s="18" t="s">
        <v>222</v>
      </c>
      <c r="C106" s="18" t="s">
        <v>238</v>
      </c>
      <c r="D106" s="18" t="s">
        <v>193</v>
      </c>
      <c r="E106" s="52">
        <v>0</v>
      </c>
      <c r="F106" s="31"/>
      <c r="G106" s="75">
        <f t="shared" si="9"/>
        <v>0</v>
      </c>
      <c r="H106" s="75">
        <f t="shared" si="9"/>
        <v>20</v>
      </c>
      <c r="I106" s="75">
        <f t="shared" si="9"/>
        <v>0</v>
      </c>
      <c r="J106" s="75">
        <f t="shared" si="9"/>
        <v>20</v>
      </c>
      <c r="K106" s="75">
        <f t="shared" si="9"/>
        <v>20</v>
      </c>
    </row>
    <row r="107" spans="1:11" ht="31.5" outlineLevel="2">
      <c r="A107" s="107" t="s">
        <v>295</v>
      </c>
      <c r="B107" s="18" t="s">
        <v>222</v>
      </c>
      <c r="C107" s="18" t="s">
        <v>238</v>
      </c>
      <c r="D107" s="18" t="s">
        <v>193</v>
      </c>
      <c r="E107" s="52">
        <v>0</v>
      </c>
      <c r="F107" s="31">
        <v>200</v>
      </c>
      <c r="G107" s="75"/>
      <c r="H107" s="75">
        <v>20</v>
      </c>
      <c r="I107" s="75"/>
      <c r="J107" s="75">
        <v>20</v>
      </c>
      <c r="K107" s="75">
        <v>20</v>
      </c>
    </row>
    <row r="108" spans="1:11" ht="15.75" outlineLevel="3">
      <c r="A108" s="107" t="s">
        <v>318</v>
      </c>
      <c r="B108" s="18" t="s">
        <v>222</v>
      </c>
      <c r="C108" s="18" t="s">
        <v>249</v>
      </c>
      <c r="D108" s="18"/>
      <c r="E108" s="52"/>
      <c r="F108" s="31"/>
      <c r="G108" s="121">
        <f>SUM(G109+G113+G119)</f>
        <v>4416.200000000001</v>
      </c>
      <c r="H108" s="121">
        <f>SUM(H109+H113+H119)</f>
        <v>8238.900000000001</v>
      </c>
      <c r="I108" s="121">
        <f>SUM(I109+I113+I119)</f>
        <v>3483</v>
      </c>
      <c r="J108" s="121">
        <f>SUM(J109+J113+J119)</f>
        <v>7305.7</v>
      </c>
      <c r="K108" s="121">
        <f>SUM(K109+K113+K119)</f>
        <v>5750</v>
      </c>
    </row>
    <row r="109" spans="1:11" ht="15.75" outlineLevel="3">
      <c r="A109" s="107" t="s">
        <v>33</v>
      </c>
      <c r="B109" s="18" t="s">
        <v>222</v>
      </c>
      <c r="C109" s="18" t="s">
        <v>34</v>
      </c>
      <c r="D109" s="18"/>
      <c r="E109" s="52"/>
      <c r="F109" s="31"/>
      <c r="G109" s="121">
        <f>SUM(G110)</f>
        <v>-3.7</v>
      </c>
      <c r="H109" s="121">
        <f>SUM(H110)</f>
        <v>21.3</v>
      </c>
      <c r="I109" s="121">
        <f>SUM(I110)</f>
        <v>16</v>
      </c>
      <c r="J109" s="121">
        <f>SUM(J110)</f>
        <v>41</v>
      </c>
      <c r="K109" s="121">
        <f>SUM(K110)</f>
        <v>24.8</v>
      </c>
    </row>
    <row r="110" spans="1:11" ht="82.5" customHeight="1" outlineLevel="3">
      <c r="A110" s="107" t="s">
        <v>156</v>
      </c>
      <c r="B110" s="18" t="s">
        <v>222</v>
      </c>
      <c r="C110" s="18" t="s">
        <v>34</v>
      </c>
      <c r="D110" s="18"/>
      <c r="E110" s="52"/>
      <c r="F110" s="31"/>
      <c r="G110" s="121">
        <f>SUM(G111)</f>
        <v>-3.7</v>
      </c>
      <c r="H110" s="121">
        <f aca="true" t="shared" si="10" ref="H110:K111">SUM(H111)</f>
        <v>21.3</v>
      </c>
      <c r="I110" s="121">
        <f t="shared" si="10"/>
        <v>16</v>
      </c>
      <c r="J110" s="121">
        <f t="shared" si="10"/>
        <v>41</v>
      </c>
      <c r="K110" s="121">
        <f t="shared" si="10"/>
        <v>24.8</v>
      </c>
    </row>
    <row r="111" spans="1:11" ht="45.75" customHeight="1" outlineLevel="3">
      <c r="A111" s="107" t="s">
        <v>52</v>
      </c>
      <c r="B111" s="18" t="s">
        <v>222</v>
      </c>
      <c r="C111" s="18" t="s">
        <v>34</v>
      </c>
      <c r="D111" s="18" t="s">
        <v>193</v>
      </c>
      <c r="E111" s="52">
        <v>0</v>
      </c>
      <c r="F111" s="31"/>
      <c r="G111" s="121">
        <f>SUM(G112)</f>
        <v>-3.7</v>
      </c>
      <c r="H111" s="121">
        <f t="shared" si="10"/>
        <v>21.3</v>
      </c>
      <c r="I111" s="121">
        <f t="shared" si="10"/>
        <v>16</v>
      </c>
      <c r="J111" s="121">
        <f t="shared" si="10"/>
        <v>41</v>
      </c>
      <c r="K111" s="121">
        <f t="shared" si="10"/>
        <v>24.8</v>
      </c>
    </row>
    <row r="112" spans="1:11" ht="33.75" customHeight="1" outlineLevel="3">
      <c r="A112" s="107" t="s">
        <v>295</v>
      </c>
      <c r="B112" s="18" t="s">
        <v>222</v>
      </c>
      <c r="C112" s="18" t="s">
        <v>34</v>
      </c>
      <c r="D112" s="18" t="s">
        <v>193</v>
      </c>
      <c r="E112" s="52">
        <v>0</v>
      </c>
      <c r="F112" s="31">
        <v>200</v>
      </c>
      <c r="G112" s="75">
        <v>-3.7</v>
      </c>
      <c r="H112" s="75">
        <f>25-3.7</f>
        <v>21.3</v>
      </c>
      <c r="I112" s="75">
        <v>16</v>
      </c>
      <c r="J112" s="75">
        <f>25+16</f>
        <v>41</v>
      </c>
      <c r="K112" s="75">
        <v>24.8</v>
      </c>
    </row>
    <row r="113" spans="1:11" ht="15.75">
      <c r="A113" s="107" t="s">
        <v>319</v>
      </c>
      <c r="B113" s="18" t="s">
        <v>222</v>
      </c>
      <c r="C113" s="18" t="s">
        <v>239</v>
      </c>
      <c r="D113" s="18"/>
      <c r="E113" s="52"/>
      <c r="F113" s="31"/>
      <c r="G113" s="121">
        <f>SUM(G114+G117)</f>
        <v>1564.9000000000005</v>
      </c>
      <c r="H113" s="121">
        <f>SUM(H114+H117)</f>
        <v>4962.6</v>
      </c>
      <c r="I113" s="121">
        <f>SUM(I114+I117)</f>
        <v>1495.5</v>
      </c>
      <c r="J113" s="121">
        <f>SUM(J114+J117)</f>
        <v>4893.2</v>
      </c>
      <c r="K113" s="121">
        <f>SUM(K114+K117)</f>
        <v>5007.2</v>
      </c>
    </row>
    <row r="114" spans="1:11" ht="66" customHeight="1" outlineLevel="1">
      <c r="A114" s="107" t="s">
        <v>164</v>
      </c>
      <c r="B114" s="18" t="s">
        <v>222</v>
      </c>
      <c r="C114" s="18" t="s">
        <v>239</v>
      </c>
      <c r="D114" s="18" t="s">
        <v>37</v>
      </c>
      <c r="E114" s="52">
        <v>0</v>
      </c>
      <c r="F114" s="63"/>
      <c r="G114" s="75">
        <f>SUM(G115:G116)</f>
        <v>4962.6</v>
      </c>
      <c r="H114" s="75">
        <f>SUM(H115:H116)</f>
        <v>4962.6</v>
      </c>
      <c r="I114" s="75">
        <f>SUM(I115:I116)</f>
        <v>4893.2</v>
      </c>
      <c r="J114" s="75">
        <f>SUM(J115:J116)</f>
        <v>4893.2</v>
      </c>
      <c r="K114" s="75">
        <f>SUM(K115:K116)</f>
        <v>5007.2</v>
      </c>
    </row>
    <row r="115" spans="1:11" ht="31.5" outlineLevel="2">
      <c r="A115" s="107" t="s">
        <v>295</v>
      </c>
      <c r="B115" s="18" t="s">
        <v>222</v>
      </c>
      <c r="C115" s="18" t="s">
        <v>239</v>
      </c>
      <c r="D115" s="18" t="s">
        <v>37</v>
      </c>
      <c r="E115" s="52">
        <v>0</v>
      </c>
      <c r="F115" s="63">
        <v>200</v>
      </c>
      <c r="G115" s="75">
        <f>3397.7+1564.9</f>
        <v>4962.6</v>
      </c>
      <c r="H115" s="75">
        <f>3397.7+1564.9</f>
        <v>4962.6</v>
      </c>
      <c r="I115" s="75">
        <f>3397.7+1495.5</f>
        <v>4893.2</v>
      </c>
      <c r="J115" s="75">
        <f>3397.7+1495.5</f>
        <v>4893.2</v>
      </c>
      <c r="K115" s="75">
        <v>5007.2</v>
      </c>
    </row>
    <row r="116" spans="1:11" ht="15.75" outlineLevel="2">
      <c r="A116" s="107" t="s">
        <v>55</v>
      </c>
      <c r="B116" s="18" t="s">
        <v>222</v>
      </c>
      <c r="C116" s="18" t="s">
        <v>239</v>
      </c>
      <c r="D116" s="18" t="s">
        <v>37</v>
      </c>
      <c r="E116" s="52">
        <v>0</v>
      </c>
      <c r="F116" s="63">
        <v>500</v>
      </c>
      <c r="G116" s="75"/>
      <c r="H116" s="75">
        <v>0</v>
      </c>
      <c r="I116" s="75"/>
      <c r="J116" s="75">
        <v>0</v>
      </c>
      <c r="K116" s="75">
        <v>0</v>
      </c>
    </row>
    <row r="117" spans="1:11" ht="47.25" outlineLevel="2">
      <c r="A117" s="107" t="s">
        <v>52</v>
      </c>
      <c r="B117" s="18" t="s">
        <v>222</v>
      </c>
      <c r="C117" s="18" t="s">
        <v>239</v>
      </c>
      <c r="D117" s="18" t="s">
        <v>193</v>
      </c>
      <c r="E117" s="52">
        <v>0</v>
      </c>
      <c r="F117" s="31"/>
      <c r="G117" s="75">
        <f>SUM(G118)</f>
        <v>-3397.7</v>
      </c>
      <c r="H117" s="75">
        <f>SUM(H118)</f>
        <v>0</v>
      </c>
      <c r="I117" s="75">
        <f>SUM(I118)</f>
        <v>-3397.7</v>
      </c>
      <c r="J117" s="75">
        <f>SUM(J118)</f>
        <v>0</v>
      </c>
      <c r="K117" s="75">
        <f>SUM(K118)</f>
        <v>0</v>
      </c>
    </row>
    <row r="118" spans="1:11" ht="31.5" outlineLevel="2">
      <c r="A118" s="108" t="s">
        <v>295</v>
      </c>
      <c r="B118" s="18" t="s">
        <v>222</v>
      </c>
      <c r="C118" s="18" t="s">
        <v>239</v>
      </c>
      <c r="D118" s="18" t="s">
        <v>193</v>
      </c>
      <c r="E118" s="52">
        <v>0</v>
      </c>
      <c r="F118" s="31">
        <v>200</v>
      </c>
      <c r="G118" s="75">
        <v>-3397.7</v>
      </c>
      <c r="H118" s="75">
        <f>3397.7-3397.7</f>
        <v>0</v>
      </c>
      <c r="I118" s="75">
        <v>-3397.7</v>
      </c>
      <c r="J118" s="75">
        <f>3397.7-3397.7</f>
        <v>0</v>
      </c>
      <c r="K118" s="75">
        <v>0</v>
      </c>
    </row>
    <row r="119" spans="1:11" ht="17.25" customHeight="1" outlineLevel="3">
      <c r="A119" s="107" t="s">
        <v>320</v>
      </c>
      <c r="B119" s="18" t="s">
        <v>222</v>
      </c>
      <c r="C119" s="18" t="s">
        <v>241</v>
      </c>
      <c r="D119" s="18"/>
      <c r="E119" s="52"/>
      <c r="F119" s="31"/>
      <c r="G119" s="75">
        <f>SUM(G120+G124+G127)</f>
        <v>2855</v>
      </c>
      <c r="H119" s="75">
        <f>SUM(H120+H124+H127)</f>
        <v>3255</v>
      </c>
      <c r="I119" s="75">
        <f>SUM(I120+I124+I127)</f>
        <v>1971.5</v>
      </c>
      <c r="J119" s="75">
        <f>SUM(J120+J124+J127)</f>
        <v>2371.5</v>
      </c>
      <c r="K119" s="75">
        <f>SUM(K120+K124+K127)</f>
        <v>718</v>
      </c>
    </row>
    <row r="120" spans="1:11" ht="46.5" customHeight="1" outlineLevel="3">
      <c r="A120" s="107" t="s">
        <v>48</v>
      </c>
      <c r="B120" s="18" t="s">
        <v>222</v>
      </c>
      <c r="C120" s="18" t="s">
        <v>241</v>
      </c>
      <c r="D120" s="18" t="s">
        <v>190</v>
      </c>
      <c r="E120" s="52">
        <v>0</v>
      </c>
      <c r="F120" s="31"/>
      <c r="G120" s="75">
        <f>SUM(G121:G123)</f>
        <v>0</v>
      </c>
      <c r="H120" s="75">
        <f>SUM(H121:H123)</f>
        <v>300</v>
      </c>
      <c r="I120" s="75">
        <f>SUM(I121:I123)</f>
        <v>0</v>
      </c>
      <c r="J120" s="75">
        <f>SUM(J121:J123)</f>
        <v>300</v>
      </c>
      <c r="K120" s="75">
        <f>SUM(K121:K123)</f>
        <v>0</v>
      </c>
    </row>
    <row r="121" spans="1:11" ht="31.5" outlineLevel="3">
      <c r="A121" s="107" t="s">
        <v>295</v>
      </c>
      <c r="B121" s="18" t="s">
        <v>222</v>
      </c>
      <c r="C121" s="18" t="s">
        <v>241</v>
      </c>
      <c r="D121" s="18" t="s">
        <v>190</v>
      </c>
      <c r="E121" s="52">
        <v>0</v>
      </c>
      <c r="F121" s="31">
        <v>200</v>
      </c>
      <c r="G121" s="75"/>
      <c r="H121" s="75">
        <v>50</v>
      </c>
      <c r="I121" s="75"/>
      <c r="J121" s="75">
        <v>50</v>
      </c>
      <c r="K121" s="75">
        <v>0</v>
      </c>
    </row>
    <row r="122" spans="1:11" ht="24" customHeight="1" outlineLevel="3">
      <c r="A122" s="107" t="s">
        <v>54</v>
      </c>
      <c r="B122" s="18" t="s">
        <v>222</v>
      </c>
      <c r="C122" s="18" t="s">
        <v>241</v>
      </c>
      <c r="D122" s="18" t="s">
        <v>190</v>
      </c>
      <c r="E122" s="52">
        <v>0</v>
      </c>
      <c r="F122" s="31">
        <v>300</v>
      </c>
      <c r="G122" s="75"/>
      <c r="H122" s="75">
        <v>50</v>
      </c>
      <c r="I122" s="75"/>
      <c r="J122" s="75">
        <v>50</v>
      </c>
      <c r="K122" s="75">
        <v>0</v>
      </c>
    </row>
    <row r="123" spans="1:11" ht="15.75" outlineLevel="3">
      <c r="A123" s="107" t="s">
        <v>32</v>
      </c>
      <c r="B123" s="18" t="s">
        <v>222</v>
      </c>
      <c r="C123" s="18" t="s">
        <v>241</v>
      </c>
      <c r="D123" s="18" t="s">
        <v>190</v>
      </c>
      <c r="E123" s="52">
        <v>0</v>
      </c>
      <c r="F123" s="31">
        <v>800</v>
      </c>
      <c r="G123" s="75"/>
      <c r="H123" s="75">
        <v>200</v>
      </c>
      <c r="I123" s="75"/>
      <c r="J123" s="75">
        <v>200</v>
      </c>
      <c r="K123" s="75">
        <v>0</v>
      </c>
    </row>
    <row r="124" spans="1:11" ht="31.5" outlineLevel="1">
      <c r="A124" s="107" t="s">
        <v>321</v>
      </c>
      <c r="B124" s="18" t="s">
        <v>222</v>
      </c>
      <c r="C124" s="18" t="s">
        <v>241</v>
      </c>
      <c r="D124" s="18"/>
      <c r="E124" s="52"/>
      <c r="F124" s="31"/>
      <c r="G124" s="75">
        <f aca="true" t="shared" si="11" ref="G124:K125">SUM(G125)</f>
        <v>225</v>
      </c>
      <c r="H124" s="75">
        <f t="shared" si="11"/>
        <v>325</v>
      </c>
      <c r="I124" s="75">
        <f t="shared" si="11"/>
        <v>225</v>
      </c>
      <c r="J124" s="75">
        <f t="shared" si="11"/>
        <v>325</v>
      </c>
      <c r="K124" s="75">
        <f t="shared" si="11"/>
        <v>325</v>
      </c>
    </row>
    <row r="125" spans="1:11" ht="47.25" outlineLevel="2">
      <c r="A125" s="107" t="s">
        <v>52</v>
      </c>
      <c r="B125" s="18" t="s">
        <v>222</v>
      </c>
      <c r="C125" s="18" t="s">
        <v>241</v>
      </c>
      <c r="D125" s="18" t="s">
        <v>193</v>
      </c>
      <c r="E125" s="52">
        <v>0</v>
      </c>
      <c r="F125" s="31"/>
      <c r="G125" s="75">
        <f t="shared" si="11"/>
        <v>225</v>
      </c>
      <c r="H125" s="75">
        <f t="shared" si="11"/>
        <v>325</v>
      </c>
      <c r="I125" s="75">
        <f t="shared" si="11"/>
        <v>225</v>
      </c>
      <c r="J125" s="75">
        <f t="shared" si="11"/>
        <v>325</v>
      </c>
      <c r="K125" s="75">
        <f t="shared" si="11"/>
        <v>325</v>
      </c>
    </row>
    <row r="126" spans="1:11" ht="31.5" outlineLevel="3">
      <c r="A126" s="107" t="s">
        <v>295</v>
      </c>
      <c r="B126" s="18" t="s">
        <v>222</v>
      </c>
      <c r="C126" s="18" t="s">
        <v>241</v>
      </c>
      <c r="D126" s="18" t="s">
        <v>193</v>
      </c>
      <c r="E126" s="52">
        <v>0</v>
      </c>
      <c r="F126" s="31">
        <v>200</v>
      </c>
      <c r="G126" s="75">
        <v>225</v>
      </c>
      <c r="H126" s="75">
        <f>100+225</f>
        <v>325</v>
      </c>
      <c r="I126" s="75">
        <f>225</f>
        <v>225</v>
      </c>
      <c r="J126" s="75">
        <f>100+225</f>
        <v>325</v>
      </c>
      <c r="K126" s="75">
        <v>325</v>
      </c>
    </row>
    <row r="127" spans="1:11" ht="31.5" outlineLevel="3">
      <c r="A127" s="107" t="s">
        <v>240</v>
      </c>
      <c r="B127" s="18" t="s">
        <v>222</v>
      </c>
      <c r="C127" s="18" t="s">
        <v>241</v>
      </c>
      <c r="D127" s="18"/>
      <c r="E127" s="52"/>
      <c r="F127" s="31"/>
      <c r="G127" s="75">
        <f aca="true" t="shared" si="12" ref="G127:K128">SUM(G128)</f>
        <v>2630</v>
      </c>
      <c r="H127" s="75">
        <f t="shared" si="12"/>
        <v>2630</v>
      </c>
      <c r="I127" s="75">
        <f t="shared" si="12"/>
        <v>1746.5</v>
      </c>
      <c r="J127" s="75">
        <f t="shared" si="12"/>
        <v>1746.5</v>
      </c>
      <c r="K127" s="75">
        <f t="shared" si="12"/>
        <v>393</v>
      </c>
    </row>
    <row r="128" spans="1:11" ht="47.25" outlineLevel="3">
      <c r="A128" s="107" t="s">
        <v>52</v>
      </c>
      <c r="B128" s="18" t="s">
        <v>222</v>
      </c>
      <c r="C128" s="18" t="s">
        <v>241</v>
      </c>
      <c r="D128" s="18" t="s">
        <v>193</v>
      </c>
      <c r="E128" s="52">
        <v>0</v>
      </c>
      <c r="F128" s="31"/>
      <c r="G128" s="75">
        <f t="shared" si="12"/>
        <v>2630</v>
      </c>
      <c r="H128" s="75">
        <f t="shared" si="12"/>
        <v>2630</v>
      </c>
      <c r="I128" s="75">
        <f t="shared" si="12"/>
        <v>1746.5</v>
      </c>
      <c r="J128" s="75">
        <f t="shared" si="12"/>
        <v>1746.5</v>
      </c>
      <c r="K128" s="75">
        <f t="shared" si="12"/>
        <v>393</v>
      </c>
    </row>
    <row r="129" spans="1:11" ht="31.5" outlineLevel="3">
      <c r="A129" s="107" t="s">
        <v>295</v>
      </c>
      <c r="B129" s="18" t="s">
        <v>222</v>
      </c>
      <c r="C129" s="18" t="s">
        <v>241</v>
      </c>
      <c r="D129" s="18" t="s">
        <v>193</v>
      </c>
      <c r="E129" s="52">
        <v>0</v>
      </c>
      <c r="F129" s="31">
        <v>200</v>
      </c>
      <c r="G129" s="75">
        <f>2630</f>
        <v>2630</v>
      </c>
      <c r="H129" s="75">
        <f>2630</f>
        <v>2630</v>
      </c>
      <c r="I129" s="75">
        <v>1746.5</v>
      </c>
      <c r="J129" s="75">
        <f>1746.5</f>
        <v>1746.5</v>
      </c>
      <c r="K129" s="75">
        <v>393</v>
      </c>
    </row>
    <row r="130" spans="1:11" ht="15.75" outlineLevel="3">
      <c r="A130" s="107" t="s">
        <v>244</v>
      </c>
      <c r="B130" s="18" t="s">
        <v>222</v>
      </c>
      <c r="C130" s="18" t="s">
        <v>245</v>
      </c>
      <c r="D130" s="18"/>
      <c r="E130" s="52"/>
      <c r="F130" s="31"/>
      <c r="G130" s="75">
        <f>SUM(G131+G135)</f>
        <v>6121.099999999999</v>
      </c>
      <c r="H130" s="75">
        <f>SUM(H131+H135)</f>
        <v>6669.9</v>
      </c>
      <c r="I130" s="75">
        <f>SUM(I131+I135)</f>
        <v>-132.3</v>
      </c>
      <c r="J130" s="75">
        <f>SUM(J131+J135)</f>
        <v>410</v>
      </c>
      <c r="K130" s="75">
        <f>SUM(K131+K135)</f>
        <v>0</v>
      </c>
    </row>
    <row r="131" spans="1:11" ht="15.75" outlineLevel="3">
      <c r="A131" s="107" t="s">
        <v>56</v>
      </c>
      <c r="B131" s="18" t="s">
        <v>222</v>
      </c>
      <c r="C131" s="18" t="s">
        <v>57</v>
      </c>
      <c r="D131" s="18"/>
      <c r="E131" s="52"/>
      <c r="F131" s="31"/>
      <c r="G131" s="75">
        <f>SUM(G132)</f>
        <v>0</v>
      </c>
      <c r="H131" s="75">
        <f aca="true" t="shared" si="13" ref="H131:K132">SUM(H132)</f>
        <v>0</v>
      </c>
      <c r="I131" s="75">
        <f t="shared" si="13"/>
        <v>0</v>
      </c>
      <c r="J131" s="75">
        <f t="shared" si="13"/>
        <v>0</v>
      </c>
      <c r="K131" s="75">
        <f t="shared" si="13"/>
        <v>0</v>
      </c>
    </row>
    <row r="132" spans="1:11" ht="62.25" customHeight="1" outlineLevel="3">
      <c r="A132" s="107" t="s">
        <v>126</v>
      </c>
      <c r="B132" s="18" t="s">
        <v>222</v>
      </c>
      <c r="C132" s="18" t="s">
        <v>57</v>
      </c>
      <c r="D132" s="18" t="s">
        <v>182</v>
      </c>
      <c r="E132" s="52">
        <v>0</v>
      </c>
      <c r="F132" s="31"/>
      <c r="G132" s="75">
        <f>SUM(G133)</f>
        <v>0</v>
      </c>
      <c r="H132" s="75">
        <f t="shared" si="13"/>
        <v>0</v>
      </c>
      <c r="I132" s="75">
        <f t="shared" si="13"/>
        <v>0</v>
      </c>
      <c r="J132" s="75">
        <f t="shared" si="13"/>
        <v>0</v>
      </c>
      <c r="K132" s="75">
        <f t="shared" si="13"/>
        <v>0</v>
      </c>
    </row>
    <row r="133" spans="1:11" ht="72" customHeight="1" outlineLevel="3">
      <c r="A133" s="107" t="s">
        <v>98</v>
      </c>
      <c r="B133" s="18" t="s">
        <v>222</v>
      </c>
      <c r="C133" s="18" t="s">
        <v>57</v>
      </c>
      <c r="D133" s="18" t="s">
        <v>182</v>
      </c>
      <c r="E133" s="52">
        <v>1</v>
      </c>
      <c r="F133" s="31"/>
      <c r="G133" s="75">
        <f>SUM(G134)</f>
        <v>0</v>
      </c>
      <c r="H133" s="75">
        <f>SUM(H134)</f>
        <v>0</v>
      </c>
      <c r="I133" s="75">
        <f>SUM(I134)</f>
        <v>0</v>
      </c>
      <c r="J133" s="75">
        <f>SUM(J134)</f>
        <v>0</v>
      </c>
      <c r="K133" s="75">
        <f>SUM(K134)</f>
        <v>0</v>
      </c>
    </row>
    <row r="134" spans="1:11" ht="15.75" outlineLevel="3">
      <c r="A134" s="107" t="s">
        <v>55</v>
      </c>
      <c r="B134" s="18" t="s">
        <v>222</v>
      </c>
      <c r="C134" s="18" t="s">
        <v>57</v>
      </c>
      <c r="D134" s="18" t="s">
        <v>182</v>
      </c>
      <c r="E134" s="52">
        <v>1</v>
      </c>
      <c r="F134" s="31">
        <v>500</v>
      </c>
      <c r="G134" s="75"/>
      <c r="H134" s="75">
        <v>0</v>
      </c>
      <c r="I134" s="75"/>
      <c r="J134" s="75">
        <v>0</v>
      </c>
      <c r="K134" s="75">
        <v>0</v>
      </c>
    </row>
    <row r="135" spans="1:11" ht="15.75" outlineLevel="3">
      <c r="A135" s="107" t="s">
        <v>242</v>
      </c>
      <c r="B135" s="18" t="s">
        <v>222</v>
      </c>
      <c r="C135" s="18" t="s">
        <v>246</v>
      </c>
      <c r="D135" s="18"/>
      <c r="E135" s="52"/>
      <c r="F135" s="31"/>
      <c r="G135" s="75">
        <f>SUM(G136+G145+G147)</f>
        <v>6121.099999999999</v>
      </c>
      <c r="H135" s="75">
        <f>SUM(H136+H145+H147)</f>
        <v>6669.9</v>
      </c>
      <c r="I135" s="75">
        <f>SUM(I136+I145+I147)</f>
        <v>-132.3</v>
      </c>
      <c r="J135" s="75">
        <f>SUM(J136+J145+J147)</f>
        <v>410</v>
      </c>
      <c r="K135" s="75">
        <f>SUM(K136+K145+K147)</f>
        <v>0</v>
      </c>
    </row>
    <row r="136" spans="1:11" ht="64.5" customHeight="1" outlineLevel="1">
      <c r="A136" s="107" t="s">
        <v>126</v>
      </c>
      <c r="B136" s="18" t="s">
        <v>222</v>
      </c>
      <c r="C136" s="18" t="s">
        <v>246</v>
      </c>
      <c r="D136" s="18" t="s">
        <v>182</v>
      </c>
      <c r="E136" s="52">
        <v>0</v>
      </c>
      <c r="F136" s="31"/>
      <c r="G136" s="75">
        <f>SUM(G137+G140+G143)</f>
        <v>6259.9</v>
      </c>
      <c r="H136" s="75">
        <f>SUM(H137+H140+H143)</f>
        <v>6669.9</v>
      </c>
      <c r="I136" s="75">
        <f>SUM(I137+I140+I143)</f>
        <v>0</v>
      </c>
      <c r="J136" s="75">
        <f>SUM(J137+J140+J143)</f>
        <v>410</v>
      </c>
      <c r="K136" s="75">
        <f>SUM(K137+K140+K143)</f>
        <v>0</v>
      </c>
    </row>
    <row r="137" spans="1:11" ht="64.5" customHeight="1" outlineLevel="1">
      <c r="A137" s="107" t="s">
        <v>98</v>
      </c>
      <c r="B137" s="18" t="s">
        <v>222</v>
      </c>
      <c r="C137" s="18" t="s">
        <v>246</v>
      </c>
      <c r="D137" s="18" t="s">
        <v>182</v>
      </c>
      <c r="E137" s="52">
        <v>1</v>
      </c>
      <c r="F137" s="31"/>
      <c r="G137" s="75">
        <f>SUM(G138:G139)</f>
        <v>5653</v>
      </c>
      <c r="H137" s="75">
        <f>SUM(H138:H139)</f>
        <v>6063</v>
      </c>
      <c r="I137" s="75">
        <f>SUM(I138:I139)</f>
        <v>0</v>
      </c>
      <c r="J137" s="75">
        <f>SUM(J138:J139)</f>
        <v>410</v>
      </c>
      <c r="K137" s="75">
        <f>SUM(K138:K139)</f>
        <v>0</v>
      </c>
    </row>
    <row r="138" spans="1:11" ht="33.75" customHeight="1" outlineLevel="1">
      <c r="A138" s="107" t="s">
        <v>295</v>
      </c>
      <c r="B138" s="18" t="s">
        <v>222</v>
      </c>
      <c r="C138" s="18" t="s">
        <v>246</v>
      </c>
      <c r="D138" s="18" t="s">
        <v>182</v>
      </c>
      <c r="E138" s="52">
        <v>1</v>
      </c>
      <c r="F138" s="31">
        <v>200</v>
      </c>
      <c r="G138" s="75"/>
      <c r="H138" s="75">
        <v>410</v>
      </c>
      <c r="I138" s="75"/>
      <c r="J138" s="75">
        <v>410</v>
      </c>
      <c r="K138" s="75">
        <v>0</v>
      </c>
    </row>
    <row r="139" spans="1:11" ht="18.75" customHeight="1" outlineLevel="1">
      <c r="A139" s="107" t="s">
        <v>55</v>
      </c>
      <c r="B139" s="18" t="s">
        <v>222</v>
      </c>
      <c r="C139" s="18" t="s">
        <v>246</v>
      </c>
      <c r="D139" s="18" t="s">
        <v>182</v>
      </c>
      <c r="E139" s="52">
        <v>1</v>
      </c>
      <c r="F139" s="31">
        <v>500</v>
      </c>
      <c r="G139" s="75">
        <f>5653</f>
        <v>5653</v>
      </c>
      <c r="H139" s="75">
        <f>5653</f>
        <v>5653</v>
      </c>
      <c r="I139" s="75"/>
      <c r="J139" s="75">
        <v>0</v>
      </c>
      <c r="K139" s="75">
        <v>0</v>
      </c>
    </row>
    <row r="140" spans="1:11" ht="36.75" customHeight="1" outlineLevel="1">
      <c r="A140" s="107" t="s">
        <v>139</v>
      </c>
      <c r="B140" s="18" t="s">
        <v>222</v>
      </c>
      <c r="C140" s="18" t="s">
        <v>246</v>
      </c>
      <c r="D140" s="18" t="s">
        <v>182</v>
      </c>
      <c r="E140" s="52">
        <v>2</v>
      </c>
      <c r="F140" s="31"/>
      <c r="G140" s="75">
        <f>SUM(G141:G142)</f>
        <v>0</v>
      </c>
      <c r="H140" s="75">
        <f>SUM(H141)</f>
        <v>0</v>
      </c>
      <c r="I140" s="75">
        <f>SUM(I141)</f>
        <v>0</v>
      </c>
      <c r="J140" s="75">
        <f>SUM(J141)</f>
        <v>0</v>
      </c>
      <c r="K140" s="75">
        <f>SUM(K141)</f>
        <v>0</v>
      </c>
    </row>
    <row r="141" spans="1:11" ht="29.25" customHeight="1" outlineLevel="1">
      <c r="A141" s="107" t="s">
        <v>140</v>
      </c>
      <c r="B141" s="18" t="s">
        <v>222</v>
      </c>
      <c r="C141" s="18" t="s">
        <v>246</v>
      </c>
      <c r="D141" s="18" t="s">
        <v>182</v>
      </c>
      <c r="E141" s="52">
        <v>2</v>
      </c>
      <c r="F141" s="31">
        <v>400</v>
      </c>
      <c r="G141" s="75"/>
      <c r="H141" s="75">
        <v>0</v>
      </c>
      <c r="I141" s="75"/>
      <c r="J141" s="75">
        <v>0</v>
      </c>
      <c r="K141" s="75">
        <v>0</v>
      </c>
    </row>
    <row r="142" spans="1:11" ht="29.25" customHeight="1" outlineLevel="1">
      <c r="A142" s="107" t="s">
        <v>295</v>
      </c>
      <c r="B142" s="18" t="s">
        <v>222</v>
      </c>
      <c r="C142" s="18" t="s">
        <v>246</v>
      </c>
      <c r="D142" s="18" t="s">
        <v>182</v>
      </c>
      <c r="E142" s="52">
        <v>2</v>
      </c>
      <c r="F142" s="31">
        <v>400</v>
      </c>
      <c r="G142" s="75"/>
      <c r="H142" s="75">
        <v>0</v>
      </c>
      <c r="I142" s="75"/>
      <c r="J142" s="75">
        <v>0</v>
      </c>
      <c r="K142" s="75">
        <v>0</v>
      </c>
    </row>
    <row r="143" spans="1:11" ht="52.5" customHeight="1" outlineLevel="1">
      <c r="A143" s="107" t="s">
        <v>145</v>
      </c>
      <c r="B143" s="18" t="s">
        <v>222</v>
      </c>
      <c r="C143" s="18" t="s">
        <v>246</v>
      </c>
      <c r="D143" s="18" t="s">
        <v>182</v>
      </c>
      <c r="E143" s="52">
        <v>3</v>
      </c>
      <c r="F143" s="31"/>
      <c r="G143" s="75">
        <f>SUM(G144)</f>
        <v>606.9</v>
      </c>
      <c r="H143" s="75">
        <f>SUM(H144)</f>
        <v>606.9</v>
      </c>
      <c r="I143" s="75">
        <f>SUM(I144)</f>
        <v>0</v>
      </c>
      <c r="J143" s="75">
        <f>SUM(J144)</f>
        <v>0</v>
      </c>
      <c r="K143" s="75">
        <f>SUM(K144)</f>
        <v>0</v>
      </c>
    </row>
    <row r="144" spans="1:11" ht="38.25" customHeight="1" outlineLevel="1">
      <c r="A144" s="107" t="s">
        <v>143</v>
      </c>
      <c r="B144" s="18" t="s">
        <v>222</v>
      </c>
      <c r="C144" s="18" t="s">
        <v>246</v>
      </c>
      <c r="D144" s="18" t="s">
        <v>182</v>
      </c>
      <c r="E144" s="52">
        <v>3</v>
      </c>
      <c r="F144" s="31">
        <v>200</v>
      </c>
      <c r="G144" s="75">
        <v>606.9</v>
      </c>
      <c r="H144" s="75">
        <v>606.9</v>
      </c>
      <c r="I144" s="75"/>
      <c r="J144" s="75">
        <v>0</v>
      </c>
      <c r="K144" s="75">
        <v>0</v>
      </c>
    </row>
    <row r="145" spans="1:11" ht="48.75" customHeight="1" outlineLevel="2">
      <c r="A145" s="107" t="s">
        <v>136</v>
      </c>
      <c r="B145" s="18" t="s">
        <v>222</v>
      </c>
      <c r="C145" s="18" t="s">
        <v>246</v>
      </c>
      <c r="D145" s="18" t="s">
        <v>99</v>
      </c>
      <c r="E145" s="52">
        <v>0</v>
      </c>
      <c r="F145" s="31"/>
      <c r="G145" s="75">
        <f>SUM(G146)</f>
        <v>-6.5</v>
      </c>
      <c r="H145" s="75">
        <f>SUM(H146)</f>
        <v>0</v>
      </c>
      <c r="I145" s="75">
        <f>SUM(I146)</f>
        <v>0</v>
      </c>
      <c r="J145" s="75">
        <f>SUM(J146)</f>
        <v>0</v>
      </c>
      <c r="K145" s="75">
        <f>SUM(K146)</f>
        <v>0</v>
      </c>
    </row>
    <row r="146" spans="1:11" ht="30.75" customHeight="1" outlineLevel="5">
      <c r="A146" s="107" t="s">
        <v>58</v>
      </c>
      <c r="B146" s="18" t="s">
        <v>222</v>
      </c>
      <c r="C146" s="18" t="s">
        <v>246</v>
      </c>
      <c r="D146" s="18" t="s">
        <v>99</v>
      </c>
      <c r="E146" s="52">
        <v>0</v>
      </c>
      <c r="F146" s="31">
        <v>400</v>
      </c>
      <c r="G146" s="75">
        <v>-6.5</v>
      </c>
      <c r="H146" s="75">
        <f>6.5-6.5</f>
        <v>0</v>
      </c>
      <c r="I146" s="75"/>
      <c r="J146" s="75">
        <v>0</v>
      </c>
      <c r="K146" s="75">
        <v>0</v>
      </c>
    </row>
    <row r="147" spans="1:11" ht="80.25" customHeight="1" outlineLevel="2">
      <c r="A147" s="107" t="s">
        <v>243</v>
      </c>
      <c r="B147" s="18" t="s">
        <v>222</v>
      </c>
      <c r="C147" s="18" t="s">
        <v>246</v>
      </c>
      <c r="D147" s="18"/>
      <c r="E147" s="52"/>
      <c r="F147" s="31"/>
      <c r="G147" s="75">
        <f>SUM(G148)</f>
        <v>-132.3</v>
      </c>
      <c r="H147" s="75">
        <f aca="true" t="shared" si="14" ref="H147:K148">SUM(H148)</f>
        <v>0</v>
      </c>
      <c r="I147" s="75">
        <f t="shared" si="14"/>
        <v>-132.3</v>
      </c>
      <c r="J147" s="75">
        <f t="shared" si="14"/>
        <v>0</v>
      </c>
      <c r="K147" s="75">
        <f t="shared" si="14"/>
        <v>0</v>
      </c>
    </row>
    <row r="148" spans="1:11" ht="47.25" outlineLevel="2">
      <c r="A148" s="107" t="s">
        <v>52</v>
      </c>
      <c r="B148" s="18" t="s">
        <v>222</v>
      </c>
      <c r="C148" s="18" t="s">
        <v>246</v>
      </c>
      <c r="D148" s="18" t="s">
        <v>193</v>
      </c>
      <c r="E148" s="52">
        <v>0</v>
      </c>
      <c r="F148" s="31"/>
      <c r="G148" s="75">
        <f>SUM(G149)</f>
        <v>-132.3</v>
      </c>
      <c r="H148" s="75">
        <f t="shared" si="14"/>
        <v>0</v>
      </c>
      <c r="I148" s="75">
        <f t="shared" si="14"/>
        <v>-132.3</v>
      </c>
      <c r="J148" s="75">
        <f t="shared" si="14"/>
        <v>0</v>
      </c>
      <c r="K148" s="75">
        <f t="shared" si="14"/>
        <v>0</v>
      </c>
    </row>
    <row r="149" spans="1:11" ht="15.75" outlineLevel="2">
      <c r="A149" s="107" t="s">
        <v>32</v>
      </c>
      <c r="B149" s="18" t="s">
        <v>222</v>
      </c>
      <c r="C149" s="18" t="s">
        <v>246</v>
      </c>
      <c r="D149" s="18" t="s">
        <v>193</v>
      </c>
      <c r="E149" s="52">
        <v>0</v>
      </c>
      <c r="F149" s="31">
        <v>800</v>
      </c>
      <c r="G149" s="75">
        <v>-132.3</v>
      </c>
      <c r="H149" s="75">
        <f>132.3-132.3</f>
        <v>0</v>
      </c>
      <c r="I149" s="75">
        <v>-132.3</v>
      </c>
      <c r="J149" s="75">
        <f>132.3-132.3</f>
        <v>0</v>
      </c>
      <c r="K149" s="75">
        <v>0</v>
      </c>
    </row>
    <row r="150" spans="1:11" ht="15.75" outlineLevel="5">
      <c r="A150" s="107" t="s">
        <v>247</v>
      </c>
      <c r="B150" s="18" t="s">
        <v>222</v>
      </c>
      <c r="C150" s="18" t="s">
        <v>312</v>
      </c>
      <c r="D150" s="18"/>
      <c r="E150" s="52"/>
      <c r="F150" s="31"/>
      <c r="G150" s="75">
        <f>SUM(G152)</f>
        <v>0</v>
      </c>
      <c r="H150" s="75">
        <f>SUM(H152)</f>
        <v>50</v>
      </c>
      <c r="I150" s="75">
        <f>SUM(I152)</f>
        <v>0</v>
      </c>
      <c r="J150" s="75">
        <f>SUM(J152)</f>
        <v>50</v>
      </c>
      <c r="K150" s="75">
        <f>SUM(K152)</f>
        <v>0</v>
      </c>
    </row>
    <row r="151" spans="1:11" ht="53.25" customHeight="1" outlineLevel="5">
      <c r="A151" s="107" t="s">
        <v>89</v>
      </c>
      <c r="B151" s="18" t="s">
        <v>222</v>
      </c>
      <c r="C151" s="18" t="s">
        <v>250</v>
      </c>
      <c r="D151" s="18" t="s">
        <v>192</v>
      </c>
      <c r="E151" s="52">
        <v>0</v>
      </c>
      <c r="F151" s="31"/>
      <c r="G151" s="75">
        <f>SUM(G152)</f>
        <v>0</v>
      </c>
      <c r="H151" s="75">
        <f>SUM(H152)</f>
        <v>50</v>
      </c>
      <c r="I151" s="75">
        <f>SUM(I152)</f>
        <v>0</v>
      </c>
      <c r="J151" s="75">
        <f>SUM(J152)</f>
        <v>50</v>
      </c>
      <c r="K151" s="75">
        <f>SUM(K152)</f>
        <v>0</v>
      </c>
    </row>
    <row r="152" spans="1:11" ht="36" customHeight="1" outlineLevel="5">
      <c r="A152" s="107" t="s">
        <v>295</v>
      </c>
      <c r="B152" s="18" t="s">
        <v>222</v>
      </c>
      <c r="C152" s="18" t="s">
        <v>250</v>
      </c>
      <c r="D152" s="18" t="s">
        <v>192</v>
      </c>
      <c r="E152" s="52">
        <v>0</v>
      </c>
      <c r="F152" s="31">
        <v>200</v>
      </c>
      <c r="G152" s="75"/>
      <c r="H152" s="75">
        <v>50</v>
      </c>
      <c r="I152" s="75"/>
      <c r="J152" s="75">
        <v>50</v>
      </c>
      <c r="K152" s="75">
        <v>0</v>
      </c>
    </row>
    <row r="153" spans="1:11" ht="15.75" outlineLevel="5">
      <c r="A153" s="107" t="s">
        <v>251</v>
      </c>
      <c r="B153" s="18" t="s">
        <v>222</v>
      </c>
      <c r="C153" s="18" t="s">
        <v>254</v>
      </c>
      <c r="D153" s="18"/>
      <c r="E153" s="52"/>
      <c r="F153" s="31"/>
      <c r="G153" s="75">
        <f>SUM(G154+G167+G214+G233)</f>
        <v>-23819.709999999985</v>
      </c>
      <c r="H153" s="75">
        <f>SUM(H154+H167+H214+H233)</f>
        <v>138721.59000000003</v>
      </c>
      <c r="I153" s="75">
        <f>SUM(I154+I167+I214+I233)</f>
        <v>-579.0100000000143</v>
      </c>
      <c r="J153" s="75">
        <f>SUM(J154+J167+J214+J233)</f>
        <v>148555.38999999998</v>
      </c>
      <c r="K153" s="75">
        <f>SUM(K154+K167+K214+K233)</f>
        <v>153033.69</v>
      </c>
    </row>
    <row r="154" spans="1:11" ht="15.75" outlineLevel="5">
      <c r="A154" s="107" t="s">
        <v>252</v>
      </c>
      <c r="B154" s="18" t="s">
        <v>222</v>
      </c>
      <c r="C154" s="18" t="s">
        <v>253</v>
      </c>
      <c r="D154" s="18"/>
      <c r="E154" s="52"/>
      <c r="F154" s="31"/>
      <c r="G154" s="75">
        <f>SUM(G155+G162+G160)</f>
        <v>-3621.2</v>
      </c>
      <c r="H154" s="75">
        <f>SUM(H155+H162+H160)</f>
        <v>23864.7</v>
      </c>
      <c r="I154" s="75">
        <f>SUM(I155+I162+I160)</f>
        <v>1320.8000000000002</v>
      </c>
      <c r="J154" s="75">
        <f>SUM(J155+J162+J160)</f>
        <v>24506.7</v>
      </c>
      <c r="K154" s="75">
        <f>SUM(K155+K162+K160)</f>
        <v>26388.3</v>
      </c>
    </row>
    <row r="155" spans="1:11" ht="64.5" customHeight="1" outlineLevel="5">
      <c r="A155" s="107" t="s">
        <v>126</v>
      </c>
      <c r="B155" s="18" t="s">
        <v>222</v>
      </c>
      <c r="C155" s="18" t="s">
        <v>253</v>
      </c>
      <c r="D155" s="18" t="s">
        <v>182</v>
      </c>
      <c r="E155" s="52">
        <v>0</v>
      </c>
      <c r="F155" s="31"/>
      <c r="G155" s="75">
        <f>SUM(G156+G158)</f>
        <v>0</v>
      </c>
      <c r="H155" s="75">
        <f>SUM(H156+H158)</f>
        <v>440</v>
      </c>
      <c r="I155" s="75">
        <f>SUM(I156+I158)</f>
        <v>0</v>
      </c>
      <c r="J155" s="75">
        <f>SUM(J156+J158)</f>
        <v>440</v>
      </c>
      <c r="K155" s="75">
        <f>SUM(K156+K158)</f>
        <v>0</v>
      </c>
    </row>
    <row r="156" spans="1:11" ht="48" customHeight="1" outlineLevel="5">
      <c r="A156" s="107" t="s">
        <v>148</v>
      </c>
      <c r="B156" s="18" t="s">
        <v>222</v>
      </c>
      <c r="C156" s="18" t="s">
        <v>253</v>
      </c>
      <c r="D156" s="18" t="s">
        <v>182</v>
      </c>
      <c r="E156" s="52">
        <v>3</v>
      </c>
      <c r="F156" s="31"/>
      <c r="G156" s="75">
        <f>SUM(G157:G157)</f>
        <v>0</v>
      </c>
      <c r="H156" s="75">
        <f>SUM(H157:H157)</f>
        <v>0</v>
      </c>
      <c r="I156" s="75">
        <f>SUM(I157:I157)</f>
        <v>0</v>
      </c>
      <c r="J156" s="75">
        <f>SUM(J157:J157)</f>
        <v>0</v>
      </c>
      <c r="K156" s="75">
        <f>SUM(K157:K157)</f>
        <v>0</v>
      </c>
    </row>
    <row r="157" spans="1:11" ht="39.75" customHeight="1" outlineLevel="5">
      <c r="A157" s="107" t="s">
        <v>53</v>
      </c>
      <c r="B157" s="18" t="s">
        <v>222</v>
      </c>
      <c r="C157" s="18" t="s">
        <v>253</v>
      </c>
      <c r="D157" s="18" t="s">
        <v>182</v>
      </c>
      <c r="E157" s="52">
        <v>3</v>
      </c>
      <c r="F157" s="31">
        <v>600</v>
      </c>
      <c r="G157" s="75"/>
      <c r="H157" s="75">
        <v>0</v>
      </c>
      <c r="I157" s="75"/>
      <c r="J157" s="75">
        <v>0</v>
      </c>
      <c r="K157" s="75">
        <v>0</v>
      </c>
    </row>
    <row r="158" spans="1:11" ht="47.25" outlineLevel="5">
      <c r="A158" s="107" t="s">
        <v>101</v>
      </c>
      <c r="B158" s="18" t="s">
        <v>222</v>
      </c>
      <c r="C158" s="18" t="s">
        <v>253</v>
      </c>
      <c r="D158" s="18" t="s">
        <v>182</v>
      </c>
      <c r="E158" s="52">
        <v>4</v>
      </c>
      <c r="F158" s="31"/>
      <c r="G158" s="75">
        <f>SUM(G159:G159)</f>
        <v>0</v>
      </c>
      <c r="H158" s="75">
        <f>SUM(H159:H159)</f>
        <v>440</v>
      </c>
      <c r="I158" s="75">
        <f>SUM(I159:I159)</f>
        <v>0</v>
      </c>
      <c r="J158" s="75">
        <f>SUM(J159:J159)</f>
        <v>440</v>
      </c>
      <c r="K158" s="75">
        <f>SUM(K159:K159)</f>
        <v>0</v>
      </c>
    </row>
    <row r="159" spans="1:11" ht="34.5" customHeight="1" outlineLevel="5">
      <c r="A159" s="107" t="s">
        <v>53</v>
      </c>
      <c r="B159" s="18" t="s">
        <v>222</v>
      </c>
      <c r="C159" s="18" t="s">
        <v>253</v>
      </c>
      <c r="D159" s="18" t="s">
        <v>182</v>
      </c>
      <c r="E159" s="52">
        <v>4</v>
      </c>
      <c r="F159" s="31">
        <v>600</v>
      </c>
      <c r="G159" s="75"/>
      <c r="H159" s="75">
        <v>440</v>
      </c>
      <c r="I159" s="75"/>
      <c r="J159" s="75">
        <v>440</v>
      </c>
      <c r="K159" s="75">
        <v>0</v>
      </c>
    </row>
    <row r="160" spans="1:11" ht="141.75" customHeight="1" outlineLevel="5">
      <c r="A160" s="107" t="s">
        <v>149</v>
      </c>
      <c r="B160" s="18" t="s">
        <v>222</v>
      </c>
      <c r="C160" s="18" t="s">
        <v>253</v>
      </c>
      <c r="D160" s="18" t="s">
        <v>150</v>
      </c>
      <c r="E160" s="52">
        <v>0</v>
      </c>
      <c r="F160" s="31"/>
      <c r="G160" s="75">
        <f>SUM(G161:G161)</f>
        <v>34.4</v>
      </c>
      <c r="H160" s="75">
        <f>SUM(H161:H161)</f>
        <v>34.4</v>
      </c>
      <c r="I160" s="75">
        <f>SUM(I161:I161)</f>
        <v>34.4</v>
      </c>
      <c r="J160" s="75">
        <f>SUM(J161:J161)</f>
        <v>34.4</v>
      </c>
      <c r="K160" s="75">
        <f>SUM(K161:K161)</f>
        <v>0</v>
      </c>
    </row>
    <row r="161" spans="1:11" ht="34.5" customHeight="1" outlineLevel="5">
      <c r="A161" s="107" t="s">
        <v>53</v>
      </c>
      <c r="B161" s="18" t="s">
        <v>222</v>
      </c>
      <c r="C161" s="18" t="s">
        <v>253</v>
      </c>
      <c r="D161" s="18" t="s">
        <v>150</v>
      </c>
      <c r="E161" s="52">
        <v>0</v>
      </c>
      <c r="F161" s="31">
        <v>600</v>
      </c>
      <c r="G161" s="75">
        <v>34.4</v>
      </c>
      <c r="H161" s="75">
        <v>34.4</v>
      </c>
      <c r="I161" s="75">
        <v>34.4</v>
      </c>
      <c r="J161" s="75">
        <v>34.4</v>
      </c>
      <c r="K161" s="75">
        <v>0</v>
      </c>
    </row>
    <row r="162" spans="1:11" ht="64.5" customHeight="1" outlineLevel="1">
      <c r="A162" s="107" t="s">
        <v>92</v>
      </c>
      <c r="B162" s="18" t="s">
        <v>222</v>
      </c>
      <c r="C162" s="18" t="s">
        <v>253</v>
      </c>
      <c r="D162" s="18" t="s">
        <v>198</v>
      </c>
      <c r="E162" s="52">
        <v>0</v>
      </c>
      <c r="F162" s="31"/>
      <c r="G162" s="75">
        <f>SUM(G163:G166)</f>
        <v>-3655.6</v>
      </c>
      <c r="H162" s="75">
        <f>SUM(H163:H166)</f>
        <v>23390.3</v>
      </c>
      <c r="I162" s="75">
        <f>SUM(I163:I166)</f>
        <v>1286.4</v>
      </c>
      <c r="J162" s="75">
        <f>SUM(J163:J166)</f>
        <v>24032.3</v>
      </c>
      <c r="K162" s="75">
        <f>SUM(K163:K166)</f>
        <v>26388.3</v>
      </c>
    </row>
    <row r="163" spans="1:11" ht="39" customHeight="1" outlineLevel="2">
      <c r="A163" s="107" t="s">
        <v>53</v>
      </c>
      <c r="B163" s="18" t="s">
        <v>222</v>
      </c>
      <c r="C163" s="18" t="s">
        <v>253</v>
      </c>
      <c r="D163" s="18" t="s">
        <v>198</v>
      </c>
      <c r="E163" s="52">
        <v>0</v>
      </c>
      <c r="F163" s="31">
        <v>600</v>
      </c>
      <c r="G163" s="75"/>
      <c r="H163" s="75">
        <f>12400</f>
        <v>12400</v>
      </c>
      <c r="I163" s="75">
        <f>6656-2356</f>
        <v>4300</v>
      </c>
      <c r="J163" s="75">
        <f>8100+6656-2356</f>
        <v>12400</v>
      </c>
      <c r="K163" s="75">
        <v>14756</v>
      </c>
    </row>
    <row r="164" spans="1:11" ht="63" outlineLevel="3">
      <c r="A164" s="107" t="s">
        <v>36</v>
      </c>
      <c r="B164" s="18" t="s">
        <v>222</v>
      </c>
      <c r="C164" s="18" t="s">
        <v>253</v>
      </c>
      <c r="D164" s="18" t="s">
        <v>198</v>
      </c>
      <c r="E164" s="52">
        <v>0</v>
      </c>
      <c r="F164" s="31">
        <v>600</v>
      </c>
      <c r="G164" s="75">
        <f>-3655.6</f>
        <v>-3655.6</v>
      </c>
      <c r="H164" s="75">
        <f>14645.9-3655.6</f>
        <v>10990.3</v>
      </c>
      <c r="I164" s="75">
        <f>-3013.6</f>
        <v>-3013.6</v>
      </c>
      <c r="J164" s="75">
        <f>14645.9-3013.6</f>
        <v>11632.3</v>
      </c>
      <c r="K164" s="75">
        <v>11632.3</v>
      </c>
    </row>
    <row r="165" spans="1:11" ht="66" customHeight="1" outlineLevel="3">
      <c r="A165" s="107" t="s">
        <v>163</v>
      </c>
      <c r="B165" s="18" t="s">
        <v>222</v>
      </c>
      <c r="C165" s="18" t="s">
        <v>253</v>
      </c>
      <c r="D165" s="18" t="s">
        <v>198</v>
      </c>
      <c r="E165" s="52">
        <v>0</v>
      </c>
      <c r="F165" s="31">
        <v>600</v>
      </c>
      <c r="G165" s="75"/>
      <c r="H165" s="75">
        <v>0</v>
      </c>
      <c r="I165" s="75"/>
      <c r="J165" s="75">
        <v>0</v>
      </c>
      <c r="K165" s="75">
        <v>0</v>
      </c>
    </row>
    <row r="166" spans="1:11" ht="36.75" customHeight="1">
      <c r="A166" s="107" t="s">
        <v>59</v>
      </c>
      <c r="B166" s="18" t="s">
        <v>222</v>
      </c>
      <c r="C166" s="18" t="s">
        <v>253</v>
      </c>
      <c r="D166" s="18" t="s">
        <v>198</v>
      </c>
      <c r="E166" s="52">
        <v>0</v>
      </c>
      <c r="F166" s="31">
        <v>600</v>
      </c>
      <c r="G166" s="75"/>
      <c r="H166" s="75">
        <v>0</v>
      </c>
      <c r="I166" s="75"/>
      <c r="J166" s="75">
        <v>0</v>
      </c>
      <c r="K166" s="75">
        <v>0</v>
      </c>
    </row>
    <row r="167" spans="1:11" ht="15.75" outlineLevel="5">
      <c r="A167" s="107" t="s">
        <v>261</v>
      </c>
      <c r="B167" s="18" t="s">
        <v>222</v>
      </c>
      <c r="C167" s="18" t="s">
        <v>255</v>
      </c>
      <c r="D167" s="18"/>
      <c r="E167" s="52"/>
      <c r="F167" s="31"/>
      <c r="G167" s="121">
        <f>SUM(G168+G208)</f>
        <v>-21152.699999999983</v>
      </c>
      <c r="H167" s="121">
        <f>SUM(H168+H208)</f>
        <v>107545.70000000001</v>
      </c>
      <c r="I167" s="121">
        <f>SUM(I168+I208)</f>
        <v>-3954.0000000000146</v>
      </c>
      <c r="J167" s="121">
        <f>SUM(J168+J208)</f>
        <v>117037.49999999999</v>
      </c>
      <c r="K167" s="121">
        <f>SUM(K168+K208)</f>
        <v>119259.2</v>
      </c>
    </row>
    <row r="168" spans="1:11" ht="31.5" outlineLevel="5">
      <c r="A168" s="107" t="s">
        <v>256</v>
      </c>
      <c r="B168" s="18" t="s">
        <v>222</v>
      </c>
      <c r="C168" s="18" t="s">
        <v>255</v>
      </c>
      <c r="D168" s="18"/>
      <c r="E168" s="52"/>
      <c r="F168" s="31"/>
      <c r="G168" s="75">
        <f>SUM(G169+G175+G179+G177+G195)</f>
        <v>-21152.699999999983</v>
      </c>
      <c r="H168" s="75">
        <f>SUM(H169+H175+H179+H177+H195)</f>
        <v>99145.70000000001</v>
      </c>
      <c r="I168" s="75">
        <f>SUM(I169+I175+I179+I177+I195)</f>
        <v>-6754.000000000015</v>
      </c>
      <c r="J168" s="75">
        <f>SUM(J169+J175+J179+J177+J195)</f>
        <v>108637.49999999999</v>
      </c>
      <c r="K168" s="75">
        <f>SUM(K169+K175+K179+K177+K195)</f>
        <v>107609.2</v>
      </c>
    </row>
    <row r="169" spans="1:11" ht="65.25" customHeight="1" outlineLevel="5">
      <c r="A169" s="107" t="s">
        <v>126</v>
      </c>
      <c r="B169" s="18" t="s">
        <v>222</v>
      </c>
      <c r="C169" s="18" t="s">
        <v>255</v>
      </c>
      <c r="D169" s="18" t="s">
        <v>182</v>
      </c>
      <c r="E169" s="52">
        <v>0</v>
      </c>
      <c r="F169" s="31"/>
      <c r="G169" s="75">
        <f>SUM(G170+G172)</f>
        <v>0</v>
      </c>
      <c r="H169" s="75">
        <f>SUM(H170+H172)</f>
        <v>960</v>
      </c>
      <c r="I169" s="75">
        <f>SUM(I170+I172)</f>
        <v>0</v>
      </c>
      <c r="J169" s="75">
        <f>SUM(J170+J172)</f>
        <v>960</v>
      </c>
      <c r="K169" s="75">
        <f>SUM(K170+K172)</f>
        <v>0</v>
      </c>
    </row>
    <row r="170" spans="1:11" ht="47.25" customHeight="1" outlineLevel="5">
      <c r="A170" s="107" t="s">
        <v>148</v>
      </c>
      <c r="B170" s="18" t="s">
        <v>222</v>
      </c>
      <c r="C170" s="18" t="s">
        <v>255</v>
      </c>
      <c r="D170" s="18" t="s">
        <v>182</v>
      </c>
      <c r="E170" s="52">
        <v>3</v>
      </c>
      <c r="F170" s="31"/>
      <c r="G170" s="75">
        <f>SUM(G171:G171)</f>
        <v>0</v>
      </c>
      <c r="H170" s="75">
        <f>SUM(H171:H171)</f>
        <v>0</v>
      </c>
      <c r="I170" s="75">
        <f>SUM(I171:I171)</f>
        <v>0</v>
      </c>
      <c r="J170" s="75">
        <f>SUM(J171:J171)</f>
        <v>0</v>
      </c>
      <c r="K170" s="75">
        <f>SUM(K171:K171)</f>
        <v>0</v>
      </c>
    </row>
    <row r="171" spans="1:11" ht="42.75" customHeight="1" outlineLevel="5">
      <c r="A171" s="107" t="s">
        <v>53</v>
      </c>
      <c r="B171" s="18" t="s">
        <v>222</v>
      </c>
      <c r="C171" s="18" t="s">
        <v>255</v>
      </c>
      <c r="D171" s="18" t="s">
        <v>182</v>
      </c>
      <c r="E171" s="52">
        <v>3</v>
      </c>
      <c r="F171" s="31">
        <v>600</v>
      </c>
      <c r="G171" s="75"/>
      <c r="H171" s="75">
        <v>0</v>
      </c>
      <c r="I171" s="75"/>
      <c r="J171" s="75">
        <v>0</v>
      </c>
      <c r="K171" s="75">
        <v>0</v>
      </c>
    </row>
    <row r="172" spans="1:11" ht="47.25" outlineLevel="5">
      <c r="A172" s="107" t="s">
        <v>101</v>
      </c>
      <c r="B172" s="18" t="s">
        <v>222</v>
      </c>
      <c r="C172" s="18" t="s">
        <v>255</v>
      </c>
      <c r="D172" s="18" t="s">
        <v>182</v>
      </c>
      <c r="E172" s="52">
        <v>4</v>
      </c>
      <c r="F172" s="31"/>
      <c r="G172" s="75">
        <f>SUM(G173:G174)</f>
        <v>0</v>
      </c>
      <c r="H172" s="75">
        <f>SUM(H173:H174)</f>
        <v>960</v>
      </c>
      <c r="I172" s="75">
        <f>SUM(I173:I174)</f>
        <v>0</v>
      </c>
      <c r="J172" s="75">
        <f>SUM(J173:J174)</f>
        <v>960</v>
      </c>
      <c r="K172" s="75">
        <f>SUM(K173:K174)</f>
        <v>0</v>
      </c>
    </row>
    <row r="173" spans="1:11" ht="31.5" outlineLevel="5">
      <c r="A173" s="107" t="s">
        <v>295</v>
      </c>
      <c r="B173" s="18" t="s">
        <v>222</v>
      </c>
      <c r="C173" s="18" t="s">
        <v>255</v>
      </c>
      <c r="D173" s="18" t="s">
        <v>182</v>
      </c>
      <c r="E173" s="52">
        <v>4</v>
      </c>
      <c r="F173" s="31">
        <v>200</v>
      </c>
      <c r="G173" s="75"/>
      <c r="H173" s="75">
        <v>140</v>
      </c>
      <c r="I173" s="75"/>
      <c r="J173" s="75">
        <v>140</v>
      </c>
      <c r="K173" s="75">
        <v>0</v>
      </c>
    </row>
    <row r="174" spans="1:11" ht="34.5" customHeight="1" outlineLevel="5">
      <c r="A174" s="107" t="s">
        <v>53</v>
      </c>
      <c r="B174" s="18" t="s">
        <v>222</v>
      </c>
      <c r="C174" s="18" t="s">
        <v>255</v>
      </c>
      <c r="D174" s="18" t="s">
        <v>182</v>
      </c>
      <c r="E174" s="52">
        <v>4</v>
      </c>
      <c r="F174" s="31">
        <v>600</v>
      </c>
      <c r="G174" s="75"/>
      <c r="H174" s="75">
        <v>820</v>
      </c>
      <c r="I174" s="75"/>
      <c r="J174" s="75">
        <v>820</v>
      </c>
      <c r="K174" s="75">
        <v>0</v>
      </c>
    </row>
    <row r="175" spans="1:11" ht="66.75" customHeight="1" outlineLevel="5">
      <c r="A175" s="107" t="s">
        <v>123</v>
      </c>
      <c r="B175" s="18" t="s">
        <v>222</v>
      </c>
      <c r="C175" s="18" t="s">
        <v>255</v>
      </c>
      <c r="D175" s="18" t="s">
        <v>196</v>
      </c>
      <c r="E175" s="52">
        <v>0</v>
      </c>
      <c r="F175" s="31"/>
      <c r="G175" s="75">
        <f>SUM(G176)</f>
        <v>0</v>
      </c>
      <c r="H175" s="75">
        <f>SUM(H176)</f>
        <v>100</v>
      </c>
      <c r="I175" s="75">
        <f>SUM(I176)</f>
        <v>0</v>
      </c>
      <c r="J175" s="75">
        <f>SUM(J176)</f>
        <v>100</v>
      </c>
      <c r="K175" s="75">
        <f>SUM(K176)</f>
        <v>0</v>
      </c>
    </row>
    <row r="176" spans="1:11" ht="37.5" customHeight="1" outlineLevel="5">
      <c r="A176" s="107" t="s">
        <v>53</v>
      </c>
      <c r="B176" s="18" t="s">
        <v>222</v>
      </c>
      <c r="C176" s="18" t="s">
        <v>255</v>
      </c>
      <c r="D176" s="18" t="s">
        <v>196</v>
      </c>
      <c r="E176" s="52">
        <v>0</v>
      </c>
      <c r="F176" s="31">
        <v>600</v>
      </c>
      <c r="G176" s="75"/>
      <c r="H176" s="75">
        <v>100</v>
      </c>
      <c r="I176" s="75"/>
      <c r="J176" s="75">
        <v>100</v>
      </c>
      <c r="K176" s="75">
        <v>0</v>
      </c>
    </row>
    <row r="177" spans="1:11" ht="144.75" customHeight="1" outlineLevel="5">
      <c r="A177" s="107" t="s">
        <v>149</v>
      </c>
      <c r="B177" s="18" t="s">
        <v>222</v>
      </c>
      <c r="C177" s="18" t="s">
        <v>255</v>
      </c>
      <c r="D177" s="18" t="s">
        <v>150</v>
      </c>
      <c r="E177" s="52">
        <v>0</v>
      </c>
      <c r="F177" s="31"/>
      <c r="G177" s="75">
        <f>SUM(G178:G178)</f>
        <v>171.7</v>
      </c>
      <c r="H177" s="75">
        <f>SUM(H178:H178)</f>
        <v>171.7</v>
      </c>
      <c r="I177" s="75">
        <f>SUM(I178:I178)</f>
        <v>171.7</v>
      </c>
      <c r="J177" s="75">
        <f>SUM(J178:J178)</f>
        <v>171.7</v>
      </c>
      <c r="K177" s="75">
        <f>SUM(K178:K178)</f>
        <v>206.1</v>
      </c>
    </row>
    <row r="178" spans="1:11" ht="37.5" customHeight="1" outlineLevel="5">
      <c r="A178" s="107" t="s">
        <v>53</v>
      </c>
      <c r="B178" s="18" t="s">
        <v>222</v>
      </c>
      <c r="C178" s="18" t="s">
        <v>255</v>
      </c>
      <c r="D178" s="18" t="s">
        <v>150</v>
      </c>
      <c r="E178" s="52">
        <v>0</v>
      </c>
      <c r="F178" s="31">
        <v>600</v>
      </c>
      <c r="G178" s="75">
        <v>171.7</v>
      </c>
      <c r="H178" s="75">
        <v>171.7</v>
      </c>
      <c r="I178" s="75">
        <v>171.7</v>
      </c>
      <c r="J178" s="75">
        <v>171.7</v>
      </c>
      <c r="K178" s="75">
        <v>206.1</v>
      </c>
    </row>
    <row r="179" spans="1:11" ht="54" customHeight="1" outlineLevel="5">
      <c r="A179" s="107" t="s">
        <v>165</v>
      </c>
      <c r="B179" s="18" t="s">
        <v>222</v>
      </c>
      <c r="C179" s="18" t="s">
        <v>255</v>
      </c>
      <c r="D179" s="18" t="s">
        <v>199</v>
      </c>
      <c r="E179" s="52">
        <v>0</v>
      </c>
      <c r="F179" s="122"/>
      <c r="G179" s="121">
        <f>SUM(G180+G185)</f>
        <v>97914.00000000001</v>
      </c>
      <c r="H179" s="121">
        <f>SUM(H180+H185)</f>
        <v>97914.00000000001</v>
      </c>
      <c r="I179" s="121">
        <f>SUM(I180+I185)</f>
        <v>107405.79999999999</v>
      </c>
      <c r="J179" s="121">
        <f>SUM(J180+J185)</f>
        <v>107405.79999999999</v>
      </c>
      <c r="K179" s="121">
        <f>SUM(K180+K185)</f>
        <v>107403.09999999999</v>
      </c>
    </row>
    <row r="180" spans="1:11" ht="27" customHeight="1" outlineLevel="5">
      <c r="A180" s="107" t="s">
        <v>260</v>
      </c>
      <c r="B180" s="18" t="s">
        <v>222</v>
      </c>
      <c r="C180" s="18" t="s">
        <v>255</v>
      </c>
      <c r="D180" s="18" t="s">
        <v>199</v>
      </c>
      <c r="E180" s="52">
        <v>0</v>
      </c>
      <c r="F180" s="31"/>
      <c r="G180" s="75">
        <f>SUM(G181:G184)</f>
        <v>15274.1</v>
      </c>
      <c r="H180" s="75">
        <f>SUM(H181:H184)</f>
        <v>15274.1</v>
      </c>
      <c r="I180" s="75">
        <f>SUM(I181:I184)</f>
        <v>18336.100000000002</v>
      </c>
      <c r="J180" s="75">
        <f>SUM(J181:J184)</f>
        <v>18336.100000000002</v>
      </c>
      <c r="K180" s="75">
        <f>SUM(K181:K184)</f>
        <v>18336.100000000002</v>
      </c>
    </row>
    <row r="181" spans="1:11" ht="81.75" customHeight="1" outlineLevel="5">
      <c r="A181" s="107" t="s">
        <v>294</v>
      </c>
      <c r="B181" s="18" t="s">
        <v>222</v>
      </c>
      <c r="C181" s="18" t="s">
        <v>255</v>
      </c>
      <c r="D181" s="18" t="s">
        <v>199</v>
      </c>
      <c r="E181" s="52">
        <v>0</v>
      </c>
      <c r="F181" s="31">
        <v>100</v>
      </c>
      <c r="G181" s="75">
        <f>51</f>
        <v>51</v>
      </c>
      <c r="H181" s="75">
        <f>51</f>
        <v>51</v>
      </c>
      <c r="I181" s="75">
        <f>30+33.7</f>
        <v>63.7</v>
      </c>
      <c r="J181" s="75">
        <f>30+33.7</f>
        <v>63.7</v>
      </c>
      <c r="K181" s="75">
        <v>63.7</v>
      </c>
    </row>
    <row r="182" spans="1:11" ht="31.5" outlineLevel="5">
      <c r="A182" s="107" t="s">
        <v>295</v>
      </c>
      <c r="B182" s="18" t="s">
        <v>222</v>
      </c>
      <c r="C182" s="18" t="s">
        <v>255</v>
      </c>
      <c r="D182" s="18" t="s">
        <v>199</v>
      </c>
      <c r="E182" s="52">
        <v>0</v>
      </c>
      <c r="F182" s="31">
        <v>200</v>
      </c>
      <c r="G182" s="75">
        <f>1088</f>
        <v>1088</v>
      </c>
      <c r="H182" s="75">
        <f>1088</f>
        <v>1088</v>
      </c>
      <c r="I182" s="75">
        <f>712+409.8</f>
        <v>1121.8</v>
      </c>
      <c r="J182" s="75">
        <f>712+409.8</f>
        <v>1121.8</v>
      </c>
      <c r="K182" s="75">
        <v>1121.8</v>
      </c>
    </row>
    <row r="183" spans="1:11" ht="15.75" outlineLevel="5">
      <c r="A183" s="107" t="s">
        <v>32</v>
      </c>
      <c r="B183" s="18" t="s">
        <v>222</v>
      </c>
      <c r="C183" s="18" t="s">
        <v>255</v>
      </c>
      <c r="D183" s="18" t="s">
        <v>199</v>
      </c>
      <c r="E183" s="52">
        <v>0</v>
      </c>
      <c r="F183" s="31">
        <v>800</v>
      </c>
      <c r="G183" s="75">
        <f>76.6</f>
        <v>76.6</v>
      </c>
      <c r="H183" s="75">
        <f>76.6</f>
        <v>76.6</v>
      </c>
      <c r="I183" s="75">
        <f>50-10.8</f>
        <v>39.2</v>
      </c>
      <c r="J183" s="75">
        <f>50-10.8</f>
        <v>39.2</v>
      </c>
      <c r="K183" s="75">
        <v>39.2</v>
      </c>
    </row>
    <row r="184" spans="1:11" ht="33" customHeight="1" outlineLevel="5">
      <c r="A184" s="107" t="s">
        <v>53</v>
      </c>
      <c r="B184" s="18" t="s">
        <v>222</v>
      </c>
      <c r="C184" s="18" t="s">
        <v>255</v>
      </c>
      <c r="D184" s="18" t="s">
        <v>199</v>
      </c>
      <c r="E184" s="52">
        <v>0</v>
      </c>
      <c r="F184" s="31">
        <v>600</v>
      </c>
      <c r="G184" s="75">
        <f>12806.4+1252.1</f>
        <v>14058.5</v>
      </c>
      <c r="H184" s="75">
        <f>12806.4+1252.1</f>
        <v>14058.5</v>
      </c>
      <c r="I184" s="75">
        <f>8323.1+8788.3</f>
        <v>17111.4</v>
      </c>
      <c r="J184" s="75">
        <f>8323.1+8788.3</f>
        <v>17111.4</v>
      </c>
      <c r="K184" s="75">
        <v>17111.4</v>
      </c>
    </row>
    <row r="185" spans="1:11" s="16" customFormat="1" ht="15.75" outlineLevel="2">
      <c r="A185" s="107" t="s">
        <v>60</v>
      </c>
      <c r="B185" s="18" t="s">
        <v>222</v>
      </c>
      <c r="C185" s="18" t="s">
        <v>255</v>
      </c>
      <c r="D185" s="18" t="s">
        <v>199</v>
      </c>
      <c r="E185" s="52">
        <v>0</v>
      </c>
      <c r="F185" s="31"/>
      <c r="G185" s="75">
        <f>SUM(G186:G194)</f>
        <v>82639.90000000001</v>
      </c>
      <c r="H185" s="75">
        <f>SUM(H186:H194)</f>
        <v>82639.90000000001</v>
      </c>
      <c r="I185" s="75">
        <f>SUM(I186:I194)</f>
        <v>89069.69999999998</v>
      </c>
      <c r="J185" s="75">
        <f>SUM(J186:J194)</f>
        <v>89069.69999999998</v>
      </c>
      <c r="K185" s="75">
        <f>SUM(K186:K194)</f>
        <v>89066.99999999999</v>
      </c>
    </row>
    <row r="186" spans="1:11" ht="86.25" customHeight="1" outlineLevel="3">
      <c r="A186" s="107" t="s">
        <v>294</v>
      </c>
      <c r="B186" s="18" t="s">
        <v>222</v>
      </c>
      <c r="C186" s="18" t="s">
        <v>255</v>
      </c>
      <c r="D186" s="18" t="s">
        <v>199</v>
      </c>
      <c r="E186" s="52">
        <v>0</v>
      </c>
      <c r="F186" s="31">
        <v>100</v>
      </c>
      <c r="G186" s="75">
        <f>3873</f>
        <v>3873</v>
      </c>
      <c r="H186" s="75">
        <v>3873</v>
      </c>
      <c r="I186" s="75">
        <f>3873</f>
        <v>3873</v>
      </c>
      <c r="J186" s="75">
        <v>3873</v>
      </c>
      <c r="K186" s="75">
        <v>3873</v>
      </c>
    </row>
    <row r="187" spans="1:11" ht="69" customHeight="1" outlineLevel="3">
      <c r="A187" s="107" t="s">
        <v>166</v>
      </c>
      <c r="B187" s="18" t="s">
        <v>222</v>
      </c>
      <c r="C187" s="18" t="s">
        <v>255</v>
      </c>
      <c r="D187" s="18" t="s">
        <v>199</v>
      </c>
      <c r="E187" s="52">
        <v>0</v>
      </c>
      <c r="F187" s="31">
        <v>100</v>
      </c>
      <c r="G187" s="75"/>
      <c r="H187" s="75">
        <v>0</v>
      </c>
      <c r="I187" s="75"/>
      <c r="J187" s="75">
        <v>0</v>
      </c>
      <c r="K187" s="75">
        <v>0</v>
      </c>
    </row>
    <row r="188" spans="1:11" ht="31.5" outlineLevel="3">
      <c r="A188" s="107" t="s">
        <v>295</v>
      </c>
      <c r="B188" s="18" t="s">
        <v>222</v>
      </c>
      <c r="C188" s="18" t="s">
        <v>255</v>
      </c>
      <c r="D188" s="18" t="s">
        <v>199</v>
      </c>
      <c r="E188" s="52">
        <v>0</v>
      </c>
      <c r="F188" s="31">
        <v>200</v>
      </c>
      <c r="G188" s="75">
        <f>39.2</f>
        <v>39.2</v>
      </c>
      <c r="H188" s="75">
        <v>39.2</v>
      </c>
      <c r="I188" s="75">
        <f>39.2</f>
        <v>39.2</v>
      </c>
      <c r="J188" s="75">
        <v>39.2</v>
      </c>
      <c r="K188" s="75">
        <v>39.2</v>
      </c>
    </row>
    <row r="189" spans="1:11" ht="20.25" customHeight="1" outlineLevel="3">
      <c r="A189" s="107" t="s">
        <v>258</v>
      </c>
      <c r="B189" s="18" t="s">
        <v>222</v>
      </c>
      <c r="C189" s="18" t="s">
        <v>255</v>
      </c>
      <c r="D189" s="18" t="s">
        <v>199</v>
      </c>
      <c r="E189" s="52">
        <v>0</v>
      </c>
      <c r="F189" s="31">
        <v>200</v>
      </c>
      <c r="G189" s="75">
        <f>38.3</f>
        <v>38.3</v>
      </c>
      <c r="H189" s="75">
        <v>38.3</v>
      </c>
      <c r="I189" s="75">
        <f>38.3</f>
        <v>38.3</v>
      </c>
      <c r="J189" s="75">
        <v>38.3</v>
      </c>
      <c r="K189" s="75">
        <v>38.3</v>
      </c>
    </row>
    <row r="190" spans="1:11" ht="31.5" outlineLevel="3">
      <c r="A190" s="107" t="s">
        <v>257</v>
      </c>
      <c r="B190" s="18" t="s">
        <v>222</v>
      </c>
      <c r="C190" s="18" t="s">
        <v>255</v>
      </c>
      <c r="D190" s="18" t="s">
        <v>199</v>
      </c>
      <c r="E190" s="52">
        <v>0</v>
      </c>
      <c r="F190" s="31">
        <v>600</v>
      </c>
      <c r="G190" s="75">
        <f>-22749.1+99600.2</f>
        <v>76851.1</v>
      </c>
      <c r="H190" s="75">
        <f>99600.2-22749.1</f>
        <v>76851.1</v>
      </c>
      <c r="I190" s="75">
        <f>-16463.9+99600.2</f>
        <v>83136.29999999999</v>
      </c>
      <c r="J190" s="75">
        <f>99600.2-16463.9</f>
        <v>83136.29999999999</v>
      </c>
      <c r="K190" s="75">
        <f>99600.2-16463.9-2.7</f>
        <v>83133.59999999999</v>
      </c>
    </row>
    <row r="191" spans="1:11" ht="65.25" customHeight="1" outlineLevel="3">
      <c r="A191" s="107" t="s">
        <v>163</v>
      </c>
      <c r="B191" s="18" t="s">
        <v>222</v>
      </c>
      <c r="C191" s="18" t="s">
        <v>255</v>
      </c>
      <c r="D191" s="18" t="s">
        <v>199</v>
      </c>
      <c r="E191" s="52">
        <v>0</v>
      </c>
      <c r="F191" s="31">
        <v>600</v>
      </c>
      <c r="G191" s="75"/>
      <c r="H191" s="75">
        <v>0</v>
      </c>
      <c r="I191" s="75"/>
      <c r="J191" s="75">
        <v>0</v>
      </c>
      <c r="K191" s="75">
        <v>0</v>
      </c>
    </row>
    <row r="192" spans="1:11" ht="22.5" customHeight="1" outlineLevel="3">
      <c r="A192" s="107" t="s">
        <v>258</v>
      </c>
      <c r="B192" s="18" t="s">
        <v>222</v>
      </c>
      <c r="C192" s="18" t="s">
        <v>255</v>
      </c>
      <c r="D192" s="18" t="s">
        <v>199</v>
      </c>
      <c r="E192" s="52">
        <v>0</v>
      </c>
      <c r="F192" s="31">
        <v>600</v>
      </c>
      <c r="G192" s="75">
        <f>172.6+1665.7</f>
        <v>1838.3</v>
      </c>
      <c r="H192" s="75">
        <f>1665.7+172.6</f>
        <v>1838.3</v>
      </c>
      <c r="I192" s="75">
        <f>317.2+1665.7</f>
        <v>1982.9</v>
      </c>
      <c r="J192" s="75">
        <f>1665.7+317.2</f>
        <v>1982.9</v>
      </c>
      <c r="K192" s="75">
        <f>1665.7+317.2</f>
        <v>1982.9</v>
      </c>
    </row>
    <row r="193" spans="1:11" ht="39" customHeight="1" outlineLevel="3">
      <c r="A193" s="107" t="s">
        <v>59</v>
      </c>
      <c r="B193" s="18" t="s">
        <v>222</v>
      </c>
      <c r="C193" s="18" t="s">
        <v>255</v>
      </c>
      <c r="D193" s="18" t="s">
        <v>199</v>
      </c>
      <c r="E193" s="52">
        <v>0</v>
      </c>
      <c r="F193" s="31">
        <v>600</v>
      </c>
      <c r="G193" s="75"/>
      <c r="H193" s="75">
        <v>0</v>
      </c>
      <c r="I193" s="75"/>
      <c r="J193" s="75">
        <v>0</v>
      </c>
      <c r="K193" s="75">
        <v>0</v>
      </c>
    </row>
    <row r="194" spans="1:11" ht="36.75" customHeight="1" outlineLevel="3">
      <c r="A194" s="107" t="s">
        <v>138</v>
      </c>
      <c r="B194" s="18" t="s">
        <v>222</v>
      </c>
      <c r="C194" s="18" t="s">
        <v>255</v>
      </c>
      <c r="D194" s="18" t="s">
        <v>199</v>
      </c>
      <c r="E194" s="52">
        <v>0</v>
      </c>
      <c r="F194" s="31">
        <v>600</v>
      </c>
      <c r="G194" s="75"/>
      <c r="H194" s="75">
        <v>0</v>
      </c>
      <c r="I194" s="75"/>
      <c r="J194" s="75">
        <v>0</v>
      </c>
      <c r="K194" s="75">
        <v>0</v>
      </c>
    </row>
    <row r="195" spans="1:11" ht="46.5" customHeight="1" outlineLevel="3">
      <c r="A195" s="107" t="s">
        <v>52</v>
      </c>
      <c r="B195" s="18" t="s">
        <v>222</v>
      </c>
      <c r="C195" s="18" t="s">
        <v>255</v>
      </c>
      <c r="D195" s="18" t="s">
        <v>193</v>
      </c>
      <c r="E195" s="52">
        <v>0</v>
      </c>
      <c r="F195" s="31"/>
      <c r="G195" s="75">
        <f>SUM(G196+G201)</f>
        <v>-119238.4</v>
      </c>
      <c r="H195" s="75">
        <f>SUM(H196+H201)</f>
        <v>0</v>
      </c>
      <c r="I195" s="75">
        <f>SUM(I196+I201)</f>
        <v>-114331.5</v>
      </c>
      <c r="J195" s="75">
        <f>SUM(J196+J201)</f>
        <v>0</v>
      </c>
      <c r="K195" s="75">
        <f>SUM(K196+K201)</f>
        <v>0</v>
      </c>
    </row>
    <row r="196" spans="1:11" ht="25.5" customHeight="1" outlineLevel="3">
      <c r="A196" s="107" t="s">
        <v>260</v>
      </c>
      <c r="B196" s="18" t="s">
        <v>222</v>
      </c>
      <c r="C196" s="18" t="s">
        <v>255</v>
      </c>
      <c r="D196" s="18" t="s">
        <v>193</v>
      </c>
      <c r="E196" s="52">
        <v>0</v>
      </c>
      <c r="F196" s="31"/>
      <c r="G196" s="75">
        <f>SUM(G197:G200)</f>
        <v>-14022</v>
      </c>
      <c r="H196" s="75">
        <f>SUM(H197:H200)</f>
        <v>0</v>
      </c>
      <c r="I196" s="75">
        <f>SUM(I197:I200)</f>
        <v>-9115.1</v>
      </c>
      <c r="J196" s="75">
        <f>SUM(J197:J200)</f>
        <v>0</v>
      </c>
      <c r="K196" s="75">
        <f>SUM(K197:K200)</f>
        <v>0</v>
      </c>
    </row>
    <row r="197" spans="1:11" ht="82.5" customHeight="1" outlineLevel="3">
      <c r="A197" s="107" t="s">
        <v>294</v>
      </c>
      <c r="B197" s="18" t="s">
        <v>222</v>
      </c>
      <c r="C197" s="18" t="s">
        <v>255</v>
      </c>
      <c r="D197" s="18" t="s">
        <v>193</v>
      </c>
      <c r="E197" s="52">
        <v>0</v>
      </c>
      <c r="F197" s="31">
        <v>100</v>
      </c>
      <c r="G197" s="75">
        <v>-51</v>
      </c>
      <c r="H197" s="75">
        <f>51-51</f>
        <v>0</v>
      </c>
      <c r="I197" s="75">
        <v>-30</v>
      </c>
      <c r="J197" s="75">
        <f>30-30</f>
        <v>0</v>
      </c>
      <c r="K197" s="75">
        <v>0</v>
      </c>
    </row>
    <row r="198" spans="1:11" ht="36.75" customHeight="1" outlineLevel="3">
      <c r="A198" s="107" t="s">
        <v>295</v>
      </c>
      <c r="B198" s="18" t="s">
        <v>222</v>
      </c>
      <c r="C198" s="18" t="s">
        <v>255</v>
      </c>
      <c r="D198" s="18" t="s">
        <v>193</v>
      </c>
      <c r="E198" s="52">
        <v>0</v>
      </c>
      <c r="F198" s="31">
        <v>200</v>
      </c>
      <c r="G198" s="75">
        <v>-1088</v>
      </c>
      <c r="H198" s="75">
        <f>1088-1088</f>
        <v>0</v>
      </c>
      <c r="I198" s="75">
        <v>-712</v>
      </c>
      <c r="J198" s="75">
        <f>712-712</f>
        <v>0</v>
      </c>
      <c r="K198" s="75">
        <v>0</v>
      </c>
    </row>
    <row r="199" spans="1:11" ht="21" customHeight="1" outlineLevel="3">
      <c r="A199" s="107" t="s">
        <v>32</v>
      </c>
      <c r="B199" s="18" t="s">
        <v>222</v>
      </c>
      <c r="C199" s="18" t="s">
        <v>255</v>
      </c>
      <c r="D199" s="18" t="s">
        <v>193</v>
      </c>
      <c r="E199" s="52">
        <v>0</v>
      </c>
      <c r="F199" s="31">
        <v>800</v>
      </c>
      <c r="G199" s="75">
        <v>-76.6</v>
      </c>
      <c r="H199" s="75">
        <f>76.6-76.6</f>
        <v>0</v>
      </c>
      <c r="I199" s="75">
        <v>-50</v>
      </c>
      <c r="J199" s="75">
        <f>50-50</f>
        <v>0</v>
      </c>
      <c r="K199" s="75">
        <v>0</v>
      </c>
    </row>
    <row r="200" spans="1:11" ht="35.25" customHeight="1" outlineLevel="3">
      <c r="A200" s="107" t="s">
        <v>53</v>
      </c>
      <c r="B200" s="18" t="s">
        <v>222</v>
      </c>
      <c r="C200" s="18" t="s">
        <v>255</v>
      </c>
      <c r="D200" s="18" t="s">
        <v>193</v>
      </c>
      <c r="E200" s="52">
        <v>0</v>
      </c>
      <c r="F200" s="31">
        <v>600</v>
      </c>
      <c r="G200" s="75">
        <v>-12806.4</v>
      </c>
      <c r="H200" s="75">
        <f>12806.4-12806.4</f>
        <v>0</v>
      </c>
      <c r="I200" s="75">
        <v>-8323.1</v>
      </c>
      <c r="J200" s="75">
        <f>8323.1-8323.1</f>
        <v>0</v>
      </c>
      <c r="K200" s="75">
        <v>0</v>
      </c>
    </row>
    <row r="201" spans="1:11" ht="28.5" customHeight="1" outlineLevel="3">
      <c r="A201" s="107" t="s">
        <v>60</v>
      </c>
      <c r="B201" s="18" t="s">
        <v>222</v>
      </c>
      <c r="C201" s="18" t="s">
        <v>255</v>
      </c>
      <c r="D201" s="18" t="s">
        <v>193</v>
      </c>
      <c r="E201" s="52">
        <v>0</v>
      </c>
      <c r="F201" s="31"/>
      <c r="G201" s="75">
        <f>SUM(G202:G207)</f>
        <v>-105216.4</v>
      </c>
      <c r="H201" s="75">
        <f>SUM(H202:H207)</f>
        <v>0</v>
      </c>
      <c r="I201" s="75">
        <f>SUM(I202:I207)</f>
        <v>-105216.4</v>
      </c>
      <c r="J201" s="75">
        <f>SUM(J202:J207)</f>
        <v>0</v>
      </c>
      <c r="K201" s="75">
        <f>SUM(K202:K207)</f>
        <v>0</v>
      </c>
    </row>
    <row r="202" spans="1:11" ht="76.5" customHeight="1" outlineLevel="3">
      <c r="A202" s="107" t="s">
        <v>294</v>
      </c>
      <c r="B202" s="18" t="s">
        <v>222</v>
      </c>
      <c r="C202" s="18" t="s">
        <v>255</v>
      </c>
      <c r="D202" s="18" t="s">
        <v>193</v>
      </c>
      <c r="E202" s="52">
        <v>0</v>
      </c>
      <c r="F202" s="31">
        <v>100</v>
      </c>
      <c r="G202" s="75">
        <v>-3873</v>
      </c>
      <c r="H202" s="75">
        <f>3873-3873</f>
        <v>0</v>
      </c>
      <c r="I202" s="75">
        <v>-3873</v>
      </c>
      <c r="J202" s="75">
        <f>3873-3873</f>
        <v>0</v>
      </c>
      <c r="K202" s="75">
        <v>0</v>
      </c>
    </row>
    <row r="203" spans="1:11" ht="36.75" customHeight="1" outlineLevel="3">
      <c r="A203" s="107" t="s">
        <v>295</v>
      </c>
      <c r="B203" s="18" t="s">
        <v>222</v>
      </c>
      <c r="C203" s="18" t="s">
        <v>255</v>
      </c>
      <c r="D203" s="18" t="s">
        <v>193</v>
      </c>
      <c r="E203" s="52">
        <v>0</v>
      </c>
      <c r="F203" s="31">
        <v>200</v>
      </c>
      <c r="G203" s="75">
        <v>-39.2</v>
      </c>
      <c r="H203" s="75">
        <f>39.2-39.2</f>
        <v>0</v>
      </c>
      <c r="I203" s="75">
        <v>-39.2</v>
      </c>
      <c r="J203" s="75">
        <f>39.2-39.2</f>
        <v>0</v>
      </c>
      <c r="K203" s="75">
        <v>0</v>
      </c>
    </row>
    <row r="204" spans="1:11" ht="21" customHeight="1" outlineLevel="3">
      <c r="A204" s="107" t="s">
        <v>258</v>
      </c>
      <c r="B204" s="18" t="s">
        <v>222</v>
      </c>
      <c r="C204" s="18" t="s">
        <v>255</v>
      </c>
      <c r="D204" s="18" t="s">
        <v>193</v>
      </c>
      <c r="E204" s="52">
        <v>0</v>
      </c>
      <c r="F204" s="31">
        <v>200</v>
      </c>
      <c r="G204" s="75">
        <v>-38.3</v>
      </c>
      <c r="H204" s="75">
        <f>38.3-38.3</f>
        <v>0</v>
      </c>
      <c r="I204" s="75">
        <v>-38.3</v>
      </c>
      <c r="J204" s="75">
        <f>38.3-38.3</f>
        <v>0</v>
      </c>
      <c r="K204" s="75">
        <v>0</v>
      </c>
    </row>
    <row r="205" spans="1:11" ht="36.75" customHeight="1" outlineLevel="3">
      <c r="A205" s="107" t="s">
        <v>257</v>
      </c>
      <c r="B205" s="18" t="s">
        <v>222</v>
      </c>
      <c r="C205" s="18" t="s">
        <v>255</v>
      </c>
      <c r="D205" s="18" t="s">
        <v>193</v>
      </c>
      <c r="E205" s="52">
        <v>0</v>
      </c>
      <c r="F205" s="31">
        <v>600</v>
      </c>
      <c r="G205" s="75">
        <v>-99600.2</v>
      </c>
      <c r="H205" s="75">
        <f>99600.2-99600.2</f>
        <v>0</v>
      </c>
      <c r="I205" s="75">
        <v>-99600.2</v>
      </c>
      <c r="J205" s="75">
        <f>99600.2-99600.2</f>
        <v>0</v>
      </c>
      <c r="K205" s="75">
        <v>0</v>
      </c>
    </row>
    <row r="206" spans="1:11" ht="22.5" customHeight="1" outlineLevel="3">
      <c r="A206" s="107" t="s">
        <v>258</v>
      </c>
      <c r="B206" s="18" t="s">
        <v>222</v>
      </c>
      <c r="C206" s="18" t="s">
        <v>255</v>
      </c>
      <c r="D206" s="18" t="s">
        <v>193</v>
      </c>
      <c r="E206" s="52">
        <v>0</v>
      </c>
      <c r="F206" s="31">
        <v>600</v>
      </c>
      <c r="G206" s="75">
        <v>-1665.7</v>
      </c>
      <c r="H206" s="75">
        <f>1665.7-1665.7</f>
        <v>0</v>
      </c>
      <c r="I206" s="75">
        <v>-1665.7</v>
      </c>
      <c r="J206" s="75">
        <f>1665.7-1665.7</f>
        <v>0</v>
      </c>
      <c r="K206" s="75">
        <v>0</v>
      </c>
    </row>
    <row r="207" spans="1:11" ht="36.75" customHeight="1" outlineLevel="3">
      <c r="A207" s="107" t="s">
        <v>59</v>
      </c>
      <c r="B207" s="18" t="s">
        <v>222</v>
      </c>
      <c r="C207" s="18" t="s">
        <v>255</v>
      </c>
      <c r="D207" s="18" t="s">
        <v>193</v>
      </c>
      <c r="E207" s="52">
        <v>0</v>
      </c>
      <c r="F207" s="31">
        <v>600</v>
      </c>
      <c r="G207" s="75"/>
      <c r="H207" s="75">
        <v>0</v>
      </c>
      <c r="I207" s="75"/>
      <c r="J207" s="75">
        <v>0</v>
      </c>
      <c r="K207" s="75">
        <v>0</v>
      </c>
    </row>
    <row r="208" spans="1:11" ht="22.5" customHeight="1" outlineLevel="1">
      <c r="A208" s="107" t="s">
        <v>259</v>
      </c>
      <c r="B208" s="18" t="s">
        <v>222</v>
      </c>
      <c r="C208" s="18" t="s">
        <v>255</v>
      </c>
      <c r="D208" s="18"/>
      <c r="E208" s="52"/>
      <c r="F208" s="31"/>
      <c r="G208" s="75">
        <f>SUM(G209+G211)</f>
        <v>0</v>
      </c>
      <c r="H208" s="75">
        <f>SUM(H209+H211)</f>
        <v>8400</v>
      </c>
      <c r="I208" s="75">
        <f>SUM(I209+I211)</f>
        <v>2800</v>
      </c>
      <c r="J208" s="75">
        <f>SUM(J209+J211)</f>
        <v>8400</v>
      </c>
      <c r="K208" s="75">
        <f>SUM(K209+K211)</f>
        <v>11650</v>
      </c>
    </row>
    <row r="209" spans="1:11" ht="73.5" customHeight="1" outlineLevel="3">
      <c r="A209" s="107" t="s">
        <v>93</v>
      </c>
      <c r="B209" s="18" t="s">
        <v>222</v>
      </c>
      <c r="C209" s="18" t="s">
        <v>255</v>
      </c>
      <c r="D209" s="18" t="s">
        <v>200</v>
      </c>
      <c r="E209" s="52">
        <v>0</v>
      </c>
      <c r="F209" s="31"/>
      <c r="G209" s="75">
        <f>SUM(G210:G210)</f>
        <v>0</v>
      </c>
      <c r="H209" s="75">
        <f>SUM(H210:H210)</f>
        <v>4300</v>
      </c>
      <c r="I209" s="75">
        <f>SUM(I210:I210)</f>
        <v>1400</v>
      </c>
      <c r="J209" s="75">
        <f>SUM(J210:J210)</f>
        <v>4300</v>
      </c>
      <c r="K209" s="75">
        <f>SUM(K210:K210)</f>
        <v>5300</v>
      </c>
    </row>
    <row r="210" spans="1:11" ht="39" customHeight="1" outlineLevel="3">
      <c r="A210" s="107" t="s">
        <v>53</v>
      </c>
      <c r="B210" s="18" t="s">
        <v>222</v>
      </c>
      <c r="C210" s="18" t="s">
        <v>255</v>
      </c>
      <c r="D210" s="18" t="s">
        <v>200</v>
      </c>
      <c r="E210" s="52">
        <v>0</v>
      </c>
      <c r="F210" s="31">
        <v>600</v>
      </c>
      <c r="G210" s="75"/>
      <c r="H210" s="75">
        <f>4300</f>
        <v>4300</v>
      </c>
      <c r="I210" s="75">
        <f>2400-1000</f>
        <v>1400</v>
      </c>
      <c r="J210" s="75">
        <f>2900+2400-1000</f>
        <v>4300</v>
      </c>
      <c r="K210" s="75">
        <v>5300</v>
      </c>
    </row>
    <row r="211" spans="1:11" ht="63.75" customHeight="1" outlineLevel="3">
      <c r="A211" s="107" t="s">
        <v>133</v>
      </c>
      <c r="B211" s="18" t="s">
        <v>222</v>
      </c>
      <c r="C211" s="18" t="s">
        <v>255</v>
      </c>
      <c r="D211" s="18" t="s">
        <v>201</v>
      </c>
      <c r="E211" s="52">
        <v>0</v>
      </c>
      <c r="F211" s="31"/>
      <c r="G211" s="75">
        <f>SUM(G212:G213)</f>
        <v>0</v>
      </c>
      <c r="H211" s="75">
        <f>SUM(H212:H213)</f>
        <v>4100</v>
      </c>
      <c r="I211" s="75">
        <f>SUM(I212:I213)</f>
        <v>1400</v>
      </c>
      <c r="J211" s="75">
        <f>SUM(J212:J213)</f>
        <v>4100</v>
      </c>
      <c r="K211" s="75">
        <f>SUM(K212:K213)</f>
        <v>6350</v>
      </c>
    </row>
    <row r="212" spans="1:11" ht="36.75" customHeight="1" outlineLevel="3">
      <c r="A212" s="107" t="s">
        <v>53</v>
      </c>
      <c r="B212" s="18" t="s">
        <v>222</v>
      </c>
      <c r="C212" s="18" t="s">
        <v>255</v>
      </c>
      <c r="D212" s="18" t="s">
        <v>201</v>
      </c>
      <c r="E212" s="52">
        <v>0</v>
      </c>
      <c r="F212" s="31">
        <v>600</v>
      </c>
      <c r="G212" s="75"/>
      <c r="H212" s="75">
        <f>4100</f>
        <v>4100</v>
      </c>
      <c r="I212" s="75">
        <f>3650-2250</f>
        <v>1400</v>
      </c>
      <c r="J212" s="75">
        <f>2700+3650-2250</f>
        <v>4100</v>
      </c>
      <c r="K212" s="75">
        <v>6350</v>
      </c>
    </row>
    <row r="213" spans="1:11" ht="36.75" customHeight="1" outlineLevel="3">
      <c r="A213" s="107" t="s">
        <v>59</v>
      </c>
      <c r="B213" s="18" t="s">
        <v>222</v>
      </c>
      <c r="C213" s="18" t="s">
        <v>255</v>
      </c>
      <c r="D213" s="18" t="s">
        <v>201</v>
      </c>
      <c r="E213" s="52">
        <v>0</v>
      </c>
      <c r="F213" s="31">
        <v>600</v>
      </c>
      <c r="G213" s="75"/>
      <c r="H213" s="75">
        <v>0</v>
      </c>
      <c r="I213" s="75"/>
      <c r="J213" s="75">
        <v>0</v>
      </c>
      <c r="K213" s="75">
        <v>0</v>
      </c>
    </row>
    <row r="214" spans="1:11" ht="18.75" customHeight="1" outlineLevel="1">
      <c r="A214" s="109" t="s">
        <v>263</v>
      </c>
      <c r="B214" s="18" t="s">
        <v>222</v>
      </c>
      <c r="C214" s="18" t="s">
        <v>262</v>
      </c>
      <c r="D214" s="18" t="s">
        <v>176</v>
      </c>
      <c r="E214" s="52" t="s">
        <v>176</v>
      </c>
      <c r="F214" s="31"/>
      <c r="G214" s="75">
        <f>SUM(G215+G222+G224+G226+G229)</f>
        <v>929.19</v>
      </c>
      <c r="H214" s="75">
        <f>SUM(H215+H222+H224+H226+H229)</f>
        <v>6661.1900000000005</v>
      </c>
      <c r="I214" s="75">
        <f>SUM(I215+I222+I224+I226+I229)</f>
        <v>2029.19</v>
      </c>
      <c r="J214" s="75">
        <f>SUM(J215+J222+J224+J226+J229)</f>
        <v>6361.1900000000005</v>
      </c>
      <c r="K214" s="75">
        <f>SUM(K215+K222+K224+K226+K229)</f>
        <v>6761.1900000000005</v>
      </c>
    </row>
    <row r="215" spans="1:11" ht="92.25" customHeight="1" outlineLevel="1">
      <c r="A215" s="109" t="s">
        <v>61</v>
      </c>
      <c r="B215" s="18" t="s">
        <v>222</v>
      </c>
      <c r="C215" s="18" t="s">
        <v>262</v>
      </c>
      <c r="D215" s="18" t="s">
        <v>206</v>
      </c>
      <c r="E215" s="52">
        <v>0</v>
      </c>
      <c r="F215" s="31"/>
      <c r="G215" s="75">
        <f>SUM(G216+G218+G220)</f>
        <v>0</v>
      </c>
      <c r="H215" s="75">
        <f>SUM(H216+H218+H220)</f>
        <v>300</v>
      </c>
      <c r="I215" s="75">
        <f>SUM(I216+I218+I220)</f>
        <v>0</v>
      </c>
      <c r="J215" s="75">
        <f>SUM(J216+J218+J220)</f>
        <v>0</v>
      </c>
      <c r="K215" s="75">
        <f>SUM(K216+K218+K220)</f>
        <v>0</v>
      </c>
    </row>
    <row r="216" spans="1:11" ht="32.25" customHeight="1" outlineLevel="1">
      <c r="A216" s="107" t="s">
        <v>62</v>
      </c>
      <c r="B216" s="18" t="s">
        <v>222</v>
      </c>
      <c r="C216" s="18" t="s">
        <v>262</v>
      </c>
      <c r="D216" s="18" t="s">
        <v>206</v>
      </c>
      <c r="E216" s="52">
        <v>1</v>
      </c>
      <c r="F216" s="31"/>
      <c r="G216" s="75">
        <f>SUM(G217)</f>
        <v>0</v>
      </c>
      <c r="H216" s="75">
        <f>SUM(H217)</f>
        <v>50</v>
      </c>
      <c r="I216" s="75">
        <f>SUM(I217)</f>
        <v>0</v>
      </c>
      <c r="J216" s="75">
        <f>SUM(J217)</f>
        <v>0</v>
      </c>
      <c r="K216" s="75">
        <f>SUM(K217)</f>
        <v>0</v>
      </c>
    </row>
    <row r="217" spans="1:11" ht="33.75" customHeight="1" outlineLevel="1">
      <c r="A217" s="107" t="s">
        <v>295</v>
      </c>
      <c r="B217" s="18" t="s">
        <v>222</v>
      </c>
      <c r="C217" s="18" t="s">
        <v>262</v>
      </c>
      <c r="D217" s="18" t="s">
        <v>206</v>
      </c>
      <c r="E217" s="52">
        <v>1</v>
      </c>
      <c r="F217" s="31">
        <v>200</v>
      </c>
      <c r="G217" s="75"/>
      <c r="H217" s="75">
        <v>50</v>
      </c>
      <c r="I217" s="75"/>
      <c r="J217" s="75">
        <v>0</v>
      </c>
      <c r="K217" s="75">
        <v>0</v>
      </c>
    </row>
    <row r="218" spans="1:11" ht="39.75" customHeight="1" outlineLevel="1">
      <c r="A218" s="107" t="s">
        <v>63</v>
      </c>
      <c r="B218" s="18" t="s">
        <v>222</v>
      </c>
      <c r="C218" s="18" t="s">
        <v>262</v>
      </c>
      <c r="D218" s="18" t="s">
        <v>206</v>
      </c>
      <c r="E218" s="52">
        <v>2</v>
      </c>
      <c r="F218" s="31"/>
      <c r="G218" s="75">
        <f>SUM(G219)</f>
        <v>0</v>
      </c>
      <c r="H218" s="75">
        <f>SUM(H219)</f>
        <v>200</v>
      </c>
      <c r="I218" s="75">
        <f>SUM(I219)</f>
        <v>0</v>
      </c>
      <c r="J218" s="75">
        <f>SUM(J219)</f>
        <v>0</v>
      </c>
      <c r="K218" s="75">
        <f>SUM(K219)</f>
        <v>0</v>
      </c>
    </row>
    <row r="219" spans="1:11" ht="33" customHeight="1" outlineLevel="1">
      <c r="A219" s="107" t="s">
        <v>295</v>
      </c>
      <c r="B219" s="18" t="s">
        <v>222</v>
      </c>
      <c r="C219" s="18" t="s">
        <v>262</v>
      </c>
      <c r="D219" s="18" t="s">
        <v>206</v>
      </c>
      <c r="E219" s="52">
        <v>2</v>
      </c>
      <c r="F219" s="31">
        <v>200</v>
      </c>
      <c r="G219" s="75"/>
      <c r="H219" s="75">
        <v>200</v>
      </c>
      <c r="I219" s="75"/>
      <c r="J219" s="75">
        <v>0</v>
      </c>
      <c r="K219" s="75">
        <v>0</v>
      </c>
    </row>
    <row r="220" spans="1:11" ht="46.5" customHeight="1" outlineLevel="1">
      <c r="A220" s="107" t="s">
        <v>64</v>
      </c>
      <c r="B220" s="18" t="s">
        <v>222</v>
      </c>
      <c r="C220" s="18" t="s">
        <v>262</v>
      </c>
      <c r="D220" s="18" t="s">
        <v>206</v>
      </c>
      <c r="E220" s="52">
        <v>3</v>
      </c>
      <c r="F220" s="31"/>
      <c r="G220" s="75">
        <f>SUM(G221)</f>
        <v>0</v>
      </c>
      <c r="H220" s="75">
        <f>SUM(H221)</f>
        <v>50</v>
      </c>
      <c r="I220" s="75">
        <f>SUM(I221)</f>
        <v>0</v>
      </c>
      <c r="J220" s="75">
        <f>SUM(J221)</f>
        <v>0</v>
      </c>
      <c r="K220" s="75">
        <f>SUM(K221)</f>
        <v>0</v>
      </c>
    </row>
    <row r="221" spans="1:11" ht="34.5" customHeight="1" outlineLevel="1">
      <c r="A221" s="107" t="s">
        <v>295</v>
      </c>
      <c r="B221" s="18" t="s">
        <v>222</v>
      </c>
      <c r="C221" s="18" t="s">
        <v>262</v>
      </c>
      <c r="D221" s="18" t="s">
        <v>206</v>
      </c>
      <c r="E221" s="52">
        <v>3</v>
      </c>
      <c r="F221" s="31">
        <v>200</v>
      </c>
      <c r="G221" s="75"/>
      <c r="H221" s="75">
        <v>50</v>
      </c>
      <c r="I221" s="75"/>
      <c r="J221" s="75">
        <v>0</v>
      </c>
      <c r="K221" s="75">
        <v>0</v>
      </c>
    </row>
    <row r="222" spans="1:11" ht="55.5" customHeight="1" outlineLevel="1">
      <c r="A222" s="107" t="s">
        <v>128</v>
      </c>
      <c r="B222" s="18" t="s">
        <v>222</v>
      </c>
      <c r="C222" s="18" t="s">
        <v>262</v>
      </c>
      <c r="D222" s="18" t="s">
        <v>183</v>
      </c>
      <c r="E222" s="52">
        <v>0</v>
      </c>
      <c r="F222" s="31"/>
      <c r="G222" s="75">
        <f>SUM(G223)</f>
        <v>100</v>
      </c>
      <c r="H222" s="75">
        <f>SUM(H223)</f>
        <v>300</v>
      </c>
      <c r="I222" s="75">
        <f>SUM(I223)</f>
        <v>100</v>
      </c>
      <c r="J222" s="75">
        <f>SUM(J223)</f>
        <v>300</v>
      </c>
      <c r="K222" s="75">
        <f>SUM(K223)</f>
        <v>0</v>
      </c>
    </row>
    <row r="223" spans="1:11" ht="34.5" customHeight="1" outlineLevel="1">
      <c r="A223" s="107" t="s">
        <v>295</v>
      </c>
      <c r="B223" s="18" t="s">
        <v>222</v>
      </c>
      <c r="C223" s="18" t="s">
        <v>262</v>
      </c>
      <c r="D223" s="18" t="s">
        <v>183</v>
      </c>
      <c r="E223" s="52">
        <v>0</v>
      </c>
      <c r="F223" s="31">
        <v>200</v>
      </c>
      <c r="G223" s="75">
        <v>100</v>
      </c>
      <c r="H223" s="75">
        <f>200+100</f>
        <v>300</v>
      </c>
      <c r="I223" s="75">
        <v>100</v>
      </c>
      <c r="J223" s="75">
        <f>200+100</f>
        <v>300</v>
      </c>
      <c r="K223" s="75">
        <v>0</v>
      </c>
    </row>
    <row r="224" spans="1:11" ht="55.5" customHeight="1" outlineLevel="3">
      <c r="A224" s="109" t="s">
        <v>94</v>
      </c>
      <c r="B224" s="18" t="s">
        <v>222</v>
      </c>
      <c r="C224" s="18" t="s">
        <v>262</v>
      </c>
      <c r="D224" s="18" t="s">
        <v>202</v>
      </c>
      <c r="E224" s="52">
        <v>0</v>
      </c>
      <c r="F224" s="31"/>
      <c r="G224" s="75">
        <f>SUM(G225)</f>
        <v>0</v>
      </c>
      <c r="H224" s="75">
        <f>SUM(H225)</f>
        <v>3100</v>
      </c>
      <c r="I224" s="75">
        <f>SUM(I225)</f>
        <v>1100</v>
      </c>
      <c r="J224" s="75">
        <f>SUM(J225)</f>
        <v>3100</v>
      </c>
      <c r="K224" s="75">
        <f>SUM(K225)</f>
        <v>3800</v>
      </c>
    </row>
    <row r="225" spans="1:11" ht="39.75" customHeight="1" outlineLevel="3">
      <c r="A225" s="107" t="s">
        <v>53</v>
      </c>
      <c r="B225" s="18" t="s">
        <v>222</v>
      </c>
      <c r="C225" s="18" t="s">
        <v>262</v>
      </c>
      <c r="D225" s="18" t="s">
        <v>202</v>
      </c>
      <c r="E225" s="52">
        <v>0</v>
      </c>
      <c r="F225" s="31">
        <v>600</v>
      </c>
      <c r="G225" s="75"/>
      <c r="H225" s="75">
        <f>3100</f>
        <v>3100</v>
      </c>
      <c r="I225" s="75">
        <f>1800-700</f>
        <v>1100</v>
      </c>
      <c r="J225" s="75">
        <f>2000+1800-700</f>
        <v>3100</v>
      </c>
      <c r="K225" s="75">
        <v>3800</v>
      </c>
    </row>
    <row r="226" spans="1:11" s="16" customFormat="1" ht="78.75" customHeight="1" outlineLevel="2">
      <c r="A226" s="109" t="s">
        <v>129</v>
      </c>
      <c r="B226" s="18" t="s">
        <v>222</v>
      </c>
      <c r="C226" s="18" t="s">
        <v>262</v>
      </c>
      <c r="D226" s="18" t="s">
        <v>203</v>
      </c>
      <c r="E226" s="52">
        <v>0</v>
      </c>
      <c r="F226" s="31"/>
      <c r="G226" s="75">
        <f>SUM(G227:G228)</f>
        <v>0</v>
      </c>
      <c r="H226" s="75">
        <f>SUM(H227:H228)</f>
        <v>1600</v>
      </c>
      <c r="I226" s="75">
        <f>SUM(I227:I228)</f>
        <v>0</v>
      </c>
      <c r="J226" s="75">
        <f>SUM(J227:J228)</f>
        <v>1600</v>
      </c>
      <c r="K226" s="75">
        <f>SUM(K227:K228)</f>
        <v>1600</v>
      </c>
    </row>
    <row r="227" spans="1:11" s="16" customFormat="1" ht="47.25" outlineLevel="2">
      <c r="A227" s="107" t="s">
        <v>53</v>
      </c>
      <c r="B227" s="18" t="s">
        <v>222</v>
      </c>
      <c r="C227" s="18" t="s">
        <v>262</v>
      </c>
      <c r="D227" s="18" t="s">
        <v>203</v>
      </c>
      <c r="E227" s="52">
        <v>0</v>
      </c>
      <c r="F227" s="31">
        <v>600</v>
      </c>
      <c r="G227" s="75"/>
      <c r="H227" s="75">
        <v>1600</v>
      </c>
      <c r="I227" s="75"/>
      <c r="J227" s="75">
        <v>1600</v>
      </c>
      <c r="K227" s="75">
        <v>1600</v>
      </c>
    </row>
    <row r="228" spans="1:11" s="16" customFormat="1" ht="54.75" customHeight="1" outlineLevel="2">
      <c r="A228" s="109" t="s">
        <v>44</v>
      </c>
      <c r="B228" s="18" t="s">
        <v>222</v>
      </c>
      <c r="C228" s="18" t="s">
        <v>262</v>
      </c>
      <c r="D228" s="18" t="s">
        <v>203</v>
      </c>
      <c r="E228" s="52">
        <v>0</v>
      </c>
      <c r="F228" s="31">
        <v>600</v>
      </c>
      <c r="G228" s="75"/>
      <c r="H228" s="75">
        <v>0</v>
      </c>
      <c r="I228" s="75"/>
      <c r="J228" s="75">
        <v>0</v>
      </c>
      <c r="K228" s="75">
        <v>0</v>
      </c>
    </row>
    <row r="229" spans="1:11" s="16" customFormat="1" ht="33.75" customHeight="1" outlineLevel="2">
      <c r="A229" s="109" t="s">
        <v>65</v>
      </c>
      <c r="B229" s="18" t="s">
        <v>222</v>
      </c>
      <c r="C229" s="18" t="s">
        <v>262</v>
      </c>
      <c r="D229" s="18" t="s">
        <v>193</v>
      </c>
      <c r="E229" s="52">
        <v>0</v>
      </c>
      <c r="F229" s="31"/>
      <c r="G229" s="75">
        <f>SUM(G230)</f>
        <v>829.19</v>
      </c>
      <c r="H229" s="75">
        <f>SUM(H230)</f>
        <v>1361.1900000000003</v>
      </c>
      <c r="I229" s="75">
        <f>SUM(I230)</f>
        <v>829.19</v>
      </c>
      <c r="J229" s="75">
        <f>SUM(J230)</f>
        <v>1361.1900000000003</v>
      </c>
      <c r="K229" s="75">
        <f>SUM(K230)</f>
        <v>1361.19</v>
      </c>
    </row>
    <row r="230" spans="1:11" s="16" customFormat="1" ht="47.25" outlineLevel="2">
      <c r="A230" s="107" t="s">
        <v>52</v>
      </c>
      <c r="B230" s="18" t="s">
        <v>222</v>
      </c>
      <c r="C230" s="18" t="s">
        <v>262</v>
      </c>
      <c r="D230" s="18" t="s">
        <v>193</v>
      </c>
      <c r="E230" s="52">
        <v>0</v>
      </c>
      <c r="F230" s="31"/>
      <c r="G230" s="75">
        <f>SUM(G231:G232)</f>
        <v>829.19</v>
      </c>
      <c r="H230" s="75">
        <f>SUM(H231:H232)</f>
        <v>1361.1900000000003</v>
      </c>
      <c r="I230" s="75">
        <f>SUM(I231:I232)</f>
        <v>829.19</v>
      </c>
      <c r="J230" s="75">
        <f>SUM(J231:J232)</f>
        <v>1361.1900000000003</v>
      </c>
      <c r="K230" s="75">
        <f>SUM(K231:K232)</f>
        <v>1361.19</v>
      </c>
    </row>
    <row r="231" spans="1:11" s="16" customFormat="1" ht="51.75" customHeight="1" outlineLevel="2">
      <c r="A231" s="109" t="s">
        <v>66</v>
      </c>
      <c r="B231" s="18" t="s">
        <v>222</v>
      </c>
      <c r="C231" s="18" t="s">
        <v>262</v>
      </c>
      <c r="D231" s="18" t="s">
        <v>193</v>
      </c>
      <c r="E231" s="52">
        <v>0</v>
      </c>
      <c r="F231" s="31">
        <v>600</v>
      </c>
      <c r="G231" s="75">
        <v>789.7</v>
      </c>
      <c r="H231" s="75">
        <f>506.6+789.7</f>
        <v>1296.3000000000002</v>
      </c>
      <c r="I231" s="75">
        <v>789.7</v>
      </c>
      <c r="J231" s="75">
        <f>506.6+789.7</f>
        <v>1296.3000000000002</v>
      </c>
      <c r="K231" s="75">
        <v>1296.3</v>
      </c>
    </row>
    <row r="232" spans="1:11" s="16" customFormat="1" ht="35.25" customHeight="1" outlineLevel="2">
      <c r="A232" s="107" t="s">
        <v>53</v>
      </c>
      <c r="B232" s="18" t="s">
        <v>222</v>
      </c>
      <c r="C232" s="18" t="s">
        <v>262</v>
      </c>
      <c r="D232" s="18" t="s">
        <v>193</v>
      </c>
      <c r="E232" s="52">
        <v>0</v>
      </c>
      <c r="F232" s="31">
        <v>600</v>
      </c>
      <c r="G232" s="75">
        <v>39.49</v>
      </c>
      <c r="H232" s="75">
        <f>25.4+39.49</f>
        <v>64.89</v>
      </c>
      <c r="I232" s="75">
        <v>39.49</v>
      </c>
      <c r="J232" s="75">
        <f>25.4+39.49</f>
        <v>64.89</v>
      </c>
      <c r="K232" s="75">
        <v>64.89</v>
      </c>
    </row>
    <row r="233" spans="1:11" s="16" customFormat="1" ht="15.75" outlineLevel="2">
      <c r="A233" s="107" t="s">
        <v>264</v>
      </c>
      <c r="B233" s="18" t="s">
        <v>222</v>
      </c>
      <c r="C233" s="18" t="s">
        <v>265</v>
      </c>
      <c r="D233" s="18"/>
      <c r="E233" s="52"/>
      <c r="F233" s="31"/>
      <c r="G233" s="75">
        <f>SUM(G236+G234)</f>
        <v>25</v>
      </c>
      <c r="H233" s="75">
        <f>SUM(H236+H234)</f>
        <v>650</v>
      </c>
      <c r="I233" s="75">
        <f>SUM(I236+I234)</f>
        <v>25</v>
      </c>
      <c r="J233" s="75">
        <f>SUM(J236+J234)</f>
        <v>650</v>
      </c>
      <c r="K233" s="75">
        <f>SUM(K236+K234)</f>
        <v>625</v>
      </c>
    </row>
    <row r="234" spans="1:11" s="16" customFormat="1" ht="110.25" outlineLevel="2">
      <c r="A234" s="107" t="s">
        <v>154</v>
      </c>
      <c r="B234" s="18" t="s">
        <v>222</v>
      </c>
      <c r="C234" s="18" t="s">
        <v>265</v>
      </c>
      <c r="D234" s="18" t="s">
        <v>152</v>
      </c>
      <c r="E234" s="52">
        <v>0</v>
      </c>
      <c r="F234" s="63"/>
      <c r="G234" s="75">
        <f>SUM(G235)</f>
        <v>25</v>
      </c>
      <c r="H234" s="75">
        <f>SUM(H235)</f>
        <v>25</v>
      </c>
      <c r="I234" s="75">
        <f>SUM(I235)</f>
        <v>25</v>
      </c>
      <c r="J234" s="75">
        <f>SUM(J235)</f>
        <v>25</v>
      </c>
      <c r="K234" s="75">
        <f>SUM(K235)</f>
        <v>0</v>
      </c>
    </row>
    <row r="235" spans="1:11" s="16" customFormat="1" ht="27" customHeight="1" outlineLevel="2">
      <c r="A235" s="107" t="s">
        <v>54</v>
      </c>
      <c r="B235" s="18" t="s">
        <v>222</v>
      </c>
      <c r="C235" s="18" t="s">
        <v>265</v>
      </c>
      <c r="D235" s="18" t="s">
        <v>152</v>
      </c>
      <c r="E235" s="52">
        <v>0</v>
      </c>
      <c r="F235" s="63">
        <v>300</v>
      </c>
      <c r="G235" s="75">
        <v>25</v>
      </c>
      <c r="H235" s="75">
        <v>25</v>
      </c>
      <c r="I235" s="75">
        <v>25</v>
      </c>
      <c r="J235" s="75">
        <v>25</v>
      </c>
      <c r="K235" s="75">
        <v>0</v>
      </c>
    </row>
    <row r="236" spans="1:11" ht="68.25" customHeight="1" outlineLevel="3">
      <c r="A236" s="109" t="s">
        <v>130</v>
      </c>
      <c r="B236" s="18" t="s">
        <v>222</v>
      </c>
      <c r="C236" s="18" t="s">
        <v>265</v>
      </c>
      <c r="D236" s="18" t="s">
        <v>204</v>
      </c>
      <c r="E236" s="52">
        <v>0</v>
      </c>
      <c r="F236" s="31"/>
      <c r="G236" s="75">
        <f>SUM(G237:G239)</f>
        <v>0</v>
      </c>
      <c r="H236" s="75">
        <f>SUM(H237:H239)</f>
        <v>625</v>
      </c>
      <c r="I236" s="75">
        <f>SUM(I237:I239)</f>
        <v>0</v>
      </c>
      <c r="J236" s="75">
        <f>SUM(J237:J239)</f>
        <v>625</v>
      </c>
      <c r="K236" s="75">
        <f>SUM(K237:K239)</f>
        <v>625</v>
      </c>
    </row>
    <row r="237" spans="1:11" ht="86.25" customHeight="1" outlineLevel="2">
      <c r="A237" s="107" t="s">
        <v>294</v>
      </c>
      <c r="B237" s="18" t="s">
        <v>222</v>
      </c>
      <c r="C237" s="18" t="s">
        <v>265</v>
      </c>
      <c r="D237" s="18" t="s">
        <v>204</v>
      </c>
      <c r="E237" s="52">
        <v>0</v>
      </c>
      <c r="F237" s="31">
        <v>100</v>
      </c>
      <c r="G237" s="75"/>
      <c r="H237" s="75">
        <v>600</v>
      </c>
      <c r="I237" s="75"/>
      <c r="J237" s="75">
        <v>600</v>
      </c>
      <c r="K237" s="75">
        <v>600</v>
      </c>
    </row>
    <row r="238" spans="1:11" ht="31.5" outlineLevel="3">
      <c r="A238" s="107" t="s">
        <v>295</v>
      </c>
      <c r="B238" s="18" t="s">
        <v>222</v>
      </c>
      <c r="C238" s="18" t="s">
        <v>265</v>
      </c>
      <c r="D238" s="18" t="s">
        <v>204</v>
      </c>
      <c r="E238" s="52">
        <v>0</v>
      </c>
      <c r="F238" s="31">
        <v>200</v>
      </c>
      <c r="G238" s="75"/>
      <c r="H238" s="75">
        <v>24.8</v>
      </c>
      <c r="I238" s="75"/>
      <c r="J238" s="75">
        <v>24.8</v>
      </c>
      <c r="K238" s="75">
        <v>24.8</v>
      </c>
    </row>
    <row r="239" spans="1:11" ht="15.75" outlineLevel="3">
      <c r="A239" s="107" t="s">
        <v>32</v>
      </c>
      <c r="B239" s="18" t="s">
        <v>222</v>
      </c>
      <c r="C239" s="18" t="s">
        <v>265</v>
      </c>
      <c r="D239" s="18" t="s">
        <v>204</v>
      </c>
      <c r="E239" s="52">
        <v>0</v>
      </c>
      <c r="F239" s="31">
        <v>800</v>
      </c>
      <c r="G239" s="75"/>
      <c r="H239" s="75">
        <v>0.2</v>
      </c>
      <c r="I239" s="75"/>
      <c r="J239" s="75">
        <v>0.2</v>
      </c>
      <c r="K239" s="75">
        <v>0.2</v>
      </c>
    </row>
    <row r="240" spans="1:11" ht="15.75" outlineLevel="1">
      <c r="A240" s="107" t="s">
        <v>266</v>
      </c>
      <c r="B240" s="18" t="s">
        <v>222</v>
      </c>
      <c r="C240" s="18" t="s">
        <v>313</v>
      </c>
      <c r="D240" s="18"/>
      <c r="E240" s="52"/>
      <c r="F240" s="31"/>
      <c r="G240" s="75">
        <f>SUM(G241+G243+G245)</f>
        <v>-50</v>
      </c>
      <c r="H240" s="75">
        <f>SUM(H241+H243+H245)</f>
        <v>10550</v>
      </c>
      <c r="I240" s="75">
        <f>SUM(I241+I243+I245)</f>
        <v>3550</v>
      </c>
      <c r="J240" s="75">
        <f>SUM(J241+J243+J245)</f>
        <v>10550</v>
      </c>
      <c r="K240" s="75">
        <f>SUM(K241+K243+K245)</f>
        <v>11900</v>
      </c>
    </row>
    <row r="241" spans="1:11" ht="52.5" customHeight="1" outlineLevel="1">
      <c r="A241" s="107" t="s">
        <v>90</v>
      </c>
      <c r="B241" s="18" t="s">
        <v>222</v>
      </c>
      <c r="C241" s="18" t="s">
        <v>272</v>
      </c>
      <c r="D241" s="18" t="s">
        <v>181</v>
      </c>
      <c r="E241" s="52">
        <v>0</v>
      </c>
      <c r="F241" s="63"/>
      <c r="G241" s="75">
        <f>SUM(G242)</f>
        <v>0</v>
      </c>
      <c r="H241" s="75">
        <f>SUM(H242)</f>
        <v>100</v>
      </c>
      <c r="I241" s="75">
        <f>SUM(I242)</f>
        <v>0</v>
      </c>
      <c r="J241" s="75">
        <f>SUM(J242)</f>
        <v>100</v>
      </c>
      <c r="K241" s="75">
        <f>SUM(K242)</f>
        <v>0</v>
      </c>
    </row>
    <row r="242" spans="1:11" ht="41.25" customHeight="1" outlineLevel="1">
      <c r="A242" s="107" t="s">
        <v>53</v>
      </c>
      <c r="B242" s="18" t="s">
        <v>222</v>
      </c>
      <c r="C242" s="18" t="s">
        <v>272</v>
      </c>
      <c r="D242" s="18" t="s">
        <v>181</v>
      </c>
      <c r="E242" s="52">
        <v>0</v>
      </c>
      <c r="F242" s="63">
        <v>600</v>
      </c>
      <c r="G242" s="75"/>
      <c r="H242" s="75">
        <v>100</v>
      </c>
      <c r="I242" s="75"/>
      <c r="J242" s="75">
        <v>100</v>
      </c>
      <c r="K242" s="75">
        <v>0</v>
      </c>
    </row>
    <row r="243" spans="1:11" ht="50.25" customHeight="1" outlineLevel="1">
      <c r="A243" s="109" t="s">
        <v>46</v>
      </c>
      <c r="B243" s="18" t="s">
        <v>222</v>
      </c>
      <c r="C243" s="18" t="s">
        <v>272</v>
      </c>
      <c r="D243" s="18" t="s">
        <v>180</v>
      </c>
      <c r="E243" s="52">
        <v>0</v>
      </c>
      <c r="F243" s="63"/>
      <c r="G243" s="75">
        <f>SUM(G244)</f>
        <v>-50</v>
      </c>
      <c r="H243" s="75">
        <f>SUM(H244)</f>
        <v>150</v>
      </c>
      <c r="I243" s="75">
        <f>SUM(I244)</f>
        <v>-50</v>
      </c>
      <c r="J243" s="75">
        <f>SUM(J244)</f>
        <v>150</v>
      </c>
      <c r="K243" s="75">
        <f>SUM(K244)</f>
        <v>0</v>
      </c>
    </row>
    <row r="244" spans="1:11" ht="35.25" customHeight="1" outlineLevel="1">
      <c r="A244" s="107" t="s">
        <v>53</v>
      </c>
      <c r="B244" s="18" t="s">
        <v>222</v>
      </c>
      <c r="C244" s="18" t="s">
        <v>272</v>
      </c>
      <c r="D244" s="18" t="s">
        <v>180</v>
      </c>
      <c r="E244" s="52">
        <v>0</v>
      </c>
      <c r="F244" s="63">
        <v>600</v>
      </c>
      <c r="G244" s="75">
        <v>-50</v>
      </c>
      <c r="H244" s="75">
        <f>200-50</f>
        <v>150</v>
      </c>
      <c r="I244" s="75">
        <v>-50</v>
      </c>
      <c r="J244" s="75">
        <f>200-50</f>
        <v>150</v>
      </c>
      <c r="K244" s="75">
        <v>0</v>
      </c>
    </row>
    <row r="245" spans="1:11" ht="52.5" customHeight="1" outlineLevel="1">
      <c r="A245" s="109" t="s">
        <v>95</v>
      </c>
      <c r="B245" s="18" t="s">
        <v>222</v>
      </c>
      <c r="C245" s="18" t="s">
        <v>313</v>
      </c>
      <c r="D245" s="18" t="s">
        <v>205</v>
      </c>
      <c r="E245" s="52">
        <v>0</v>
      </c>
      <c r="F245" s="31"/>
      <c r="G245" s="75">
        <f>SUM(G246+G249+G251+G255+G257)</f>
        <v>0</v>
      </c>
      <c r="H245" s="75">
        <f>SUM(H246+H249+H251+H255+H257)</f>
        <v>10300</v>
      </c>
      <c r="I245" s="75">
        <f>SUM(I246+I249+I251+I255+I257)</f>
        <v>3600</v>
      </c>
      <c r="J245" s="75">
        <f>SUM(J246+J249+J251+J255+J257)</f>
        <v>10300</v>
      </c>
      <c r="K245" s="75">
        <f>SUM(K246+K249+K251+K255+K257)</f>
        <v>11900</v>
      </c>
    </row>
    <row r="246" spans="1:11" ht="31.5" outlineLevel="5">
      <c r="A246" s="109" t="s">
        <v>267</v>
      </c>
      <c r="B246" s="18" t="s">
        <v>222</v>
      </c>
      <c r="C246" s="18" t="s">
        <v>272</v>
      </c>
      <c r="D246" s="18" t="s">
        <v>205</v>
      </c>
      <c r="E246" s="52">
        <v>0</v>
      </c>
      <c r="F246" s="31"/>
      <c r="G246" s="75">
        <f>SUM(G247:G248)</f>
        <v>0</v>
      </c>
      <c r="H246" s="75">
        <f>SUM(H247:H248)</f>
        <v>7214</v>
      </c>
      <c r="I246" s="75">
        <f>SUM(I247:I248)</f>
        <v>2535</v>
      </c>
      <c r="J246" s="75">
        <f>SUM(J247:J248)</f>
        <v>7214</v>
      </c>
      <c r="K246" s="75">
        <f>SUM(K247:K248)</f>
        <v>8300</v>
      </c>
    </row>
    <row r="247" spans="1:11" ht="36.75" customHeight="1" outlineLevel="3">
      <c r="A247" s="107" t="s">
        <v>53</v>
      </c>
      <c r="B247" s="18" t="s">
        <v>222</v>
      </c>
      <c r="C247" s="18" t="s">
        <v>272</v>
      </c>
      <c r="D247" s="18" t="s">
        <v>205</v>
      </c>
      <c r="E247" s="52">
        <v>0</v>
      </c>
      <c r="F247" s="31">
        <v>600</v>
      </c>
      <c r="G247" s="75"/>
      <c r="H247" s="75">
        <f>7214</f>
        <v>7214</v>
      </c>
      <c r="I247" s="75">
        <f>4321-700-1086</f>
        <v>2535</v>
      </c>
      <c r="J247" s="75">
        <f>4679+4321-700-1086</f>
        <v>7214</v>
      </c>
      <c r="K247" s="75">
        <v>8300</v>
      </c>
    </row>
    <row r="248" spans="1:11" ht="33" customHeight="1" outlineLevel="2">
      <c r="A248" s="107" t="s">
        <v>59</v>
      </c>
      <c r="B248" s="18" t="s">
        <v>222</v>
      </c>
      <c r="C248" s="18" t="s">
        <v>272</v>
      </c>
      <c r="D248" s="18" t="s">
        <v>205</v>
      </c>
      <c r="E248" s="52">
        <v>0</v>
      </c>
      <c r="F248" s="31">
        <v>600</v>
      </c>
      <c r="G248" s="75"/>
      <c r="H248" s="75">
        <v>0</v>
      </c>
      <c r="I248" s="75"/>
      <c r="J248" s="75">
        <v>0</v>
      </c>
      <c r="K248" s="75">
        <v>0</v>
      </c>
    </row>
    <row r="249" spans="1:11" ht="15.75" outlineLevel="5">
      <c r="A249" s="109" t="s">
        <v>268</v>
      </c>
      <c r="B249" s="18" t="s">
        <v>222</v>
      </c>
      <c r="C249" s="18" t="s">
        <v>272</v>
      </c>
      <c r="D249" s="18" t="s">
        <v>205</v>
      </c>
      <c r="E249" s="52">
        <v>0</v>
      </c>
      <c r="F249" s="63"/>
      <c r="G249" s="75">
        <f>SUM(G250)</f>
        <v>0</v>
      </c>
      <c r="H249" s="75">
        <f>SUM(H250)</f>
        <v>862</v>
      </c>
      <c r="I249" s="75">
        <f>SUM(I250)</f>
        <v>298</v>
      </c>
      <c r="J249" s="75">
        <f>SUM(J250)</f>
        <v>862</v>
      </c>
      <c r="K249" s="75">
        <f>SUM(K250)</f>
        <v>922</v>
      </c>
    </row>
    <row r="250" spans="1:11" ht="39" customHeight="1" outlineLevel="1">
      <c r="A250" s="107" t="s">
        <v>53</v>
      </c>
      <c r="B250" s="18" t="s">
        <v>222</v>
      </c>
      <c r="C250" s="18" t="s">
        <v>272</v>
      </c>
      <c r="D250" s="18" t="s">
        <v>205</v>
      </c>
      <c r="E250" s="52">
        <v>0</v>
      </c>
      <c r="F250" s="63">
        <v>600</v>
      </c>
      <c r="G250" s="75"/>
      <c r="H250" s="75">
        <f>862</f>
        <v>862</v>
      </c>
      <c r="I250" s="75">
        <f>358-60</f>
        <v>298</v>
      </c>
      <c r="J250" s="75">
        <f>564+358-60</f>
        <v>862</v>
      </c>
      <c r="K250" s="75">
        <v>922</v>
      </c>
    </row>
    <row r="251" spans="1:11" ht="15.75" outlineLevel="2">
      <c r="A251" s="109" t="s">
        <v>269</v>
      </c>
      <c r="B251" s="18" t="s">
        <v>222</v>
      </c>
      <c r="C251" s="18" t="s">
        <v>272</v>
      </c>
      <c r="D251" s="18" t="s">
        <v>205</v>
      </c>
      <c r="E251" s="52">
        <v>0</v>
      </c>
      <c r="F251" s="63"/>
      <c r="G251" s="75">
        <f>SUM(G252:G253)</f>
        <v>0</v>
      </c>
      <c r="H251" s="75">
        <f>SUM(H252:H253)</f>
        <v>1069</v>
      </c>
      <c r="I251" s="75">
        <f>SUM(I252:I253)</f>
        <v>369</v>
      </c>
      <c r="J251" s="75">
        <f>SUM(J252:J253)</f>
        <v>1069</v>
      </c>
      <c r="K251" s="75">
        <f>SUM(K252:K253)</f>
        <v>1278</v>
      </c>
    </row>
    <row r="252" spans="1:11" ht="36.75" customHeight="1" outlineLevel="5">
      <c r="A252" s="107" t="s">
        <v>53</v>
      </c>
      <c r="B252" s="18" t="s">
        <v>222</v>
      </c>
      <c r="C252" s="18" t="s">
        <v>272</v>
      </c>
      <c r="D252" s="18" t="s">
        <v>205</v>
      </c>
      <c r="E252" s="52">
        <v>0</v>
      </c>
      <c r="F252" s="63">
        <v>600</v>
      </c>
      <c r="G252" s="75"/>
      <c r="H252" s="75">
        <f>1069</f>
        <v>1069</v>
      </c>
      <c r="I252" s="75">
        <f>578-209</f>
        <v>369</v>
      </c>
      <c r="J252" s="75">
        <f>700+578-209</f>
        <v>1069</v>
      </c>
      <c r="K252" s="75">
        <v>1278</v>
      </c>
    </row>
    <row r="253" spans="1:11" ht="31.5" outlineLevel="3">
      <c r="A253" s="109" t="s">
        <v>42</v>
      </c>
      <c r="B253" s="18" t="s">
        <v>222</v>
      </c>
      <c r="C253" s="18" t="s">
        <v>272</v>
      </c>
      <c r="D253" s="18" t="s">
        <v>205</v>
      </c>
      <c r="E253" s="52">
        <v>0</v>
      </c>
      <c r="F253" s="63"/>
      <c r="G253" s="75">
        <f>SUM(G254)</f>
        <v>0</v>
      </c>
      <c r="H253" s="75">
        <f>SUM(H254)</f>
        <v>0</v>
      </c>
      <c r="I253" s="75">
        <f>SUM(I254)</f>
        <v>0</v>
      </c>
      <c r="J253" s="75">
        <f>SUM(J254)</f>
        <v>0</v>
      </c>
      <c r="K253" s="75">
        <f>SUM(K254)</f>
        <v>0</v>
      </c>
    </row>
    <row r="254" spans="1:11" ht="64.5" customHeight="1" outlineLevel="3">
      <c r="A254" s="109" t="s">
        <v>41</v>
      </c>
      <c r="B254" s="18" t="s">
        <v>222</v>
      </c>
      <c r="C254" s="18" t="s">
        <v>272</v>
      </c>
      <c r="D254" s="18" t="s">
        <v>205</v>
      </c>
      <c r="E254" s="52">
        <v>0</v>
      </c>
      <c r="F254" s="63">
        <v>600</v>
      </c>
      <c r="G254" s="75"/>
      <c r="H254" s="75">
        <v>0</v>
      </c>
      <c r="I254" s="75"/>
      <c r="J254" s="75">
        <v>0</v>
      </c>
      <c r="K254" s="75">
        <v>0</v>
      </c>
    </row>
    <row r="255" spans="1:11" ht="15.75" outlineLevel="3">
      <c r="A255" s="109" t="s">
        <v>270</v>
      </c>
      <c r="B255" s="18" t="s">
        <v>222</v>
      </c>
      <c r="C255" s="18" t="s">
        <v>273</v>
      </c>
      <c r="D255" s="18" t="s">
        <v>205</v>
      </c>
      <c r="E255" s="52">
        <v>0</v>
      </c>
      <c r="F255" s="63"/>
      <c r="G255" s="75">
        <f>SUM(G256)</f>
        <v>0</v>
      </c>
      <c r="H255" s="75">
        <f>SUM(H256)</f>
        <v>309</v>
      </c>
      <c r="I255" s="75">
        <f>SUM(I256)</f>
        <v>106</v>
      </c>
      <c r="J255" s="75">
        <f>SUM(J256)</f>
        <v>309</v>
      </c>
      <c r="K255" s="75">
        <f>SUM(K256)</f>
        <v>400</v>
      </c>
    </row>
    <row r="256" spans="1:11" ht="38.25" customHeight="1" outlineLevel="3">
      <c r="A256" s="107" t="s">
        <v>53</v>
      </c>
      <c r="B256" s="18" t="s">
        <v>222</v>
      </c>
      <c r="C256" s="18" t="s">
        <v>273</v>
      </c>
      <c r="D256" s="18" t="s">
        <v>205</v>
      </c>
      <c r="E256" s="52">
        <v>0</v>
      </c>
      <c r="F256" s="63">
        <v>600</v>
      </c>
      <c r="G256" s="75"/>
      <c r="H256" s="75">
        <f>309</f>
        <v>309</v>
      </c>
      <c r="I256" s="75">
        <f>197-91</f>
        <v>106</v>
      </c>
      <c r="J256" s="75">
        <f>203+197-91</f>
        <v>309</v>
      </c>
      <c r="K256" s="75">
        <v>400</v>
      </c>
    </row>
    <row r="257" spans="1:11" ht="31.5">
      <c r="A257" s="109" t="s">
        <v>271</v>
      </c>
      <c r="B257" s="18" t="s">
        <v>222</v>
      </c>
      <c r="C257" s="18" t="s">
        <v>274</v>
      </c>
      <c r="D257" s="18" t="s">
        <v>205</v>
      </c>
      <c r="E257" s="52">
        <v>0</v>
      </c>
      <c r="F257" s="63"/>
      <c r="G257" s="75">
        <f>SUM(G258)</f>
        <v>0</v>
      </c>
      <c r="H257" s="75">
        <f>SUM(H258)</f>
        <v>846</v>
      </c>
      <c r="I257" s="75">
        <f>SUM(I258)</f>
        <v>292</v>
      </c>
      <c r="J257" s="75">
        <f>SUM(J258)</f>
        <v>846</v>
      </c>
      <c r="K257" s="75">
        <f>SUM(K258)</f>
        <v>1000</v>
      </c>
    </row>
    <row r="258" spans="1:11" ht="37.5" customHeight="1" outlineLevel="5">
      <c r="A258" s="107" t="s">
        <v>53</v>
      </c>
      <c r="B258" s="18" t="s">
        <v>222</v>
      </c>
      <c r="C258" s="18" t="s">
        <v>274</v>
      </c>
      <c r="D258" s="18" t="s">
        <v>205</v>
      </c>
      <c r="E258" s="52">
        <v>0</v>
      </c>
      <c r="F258" s="63">
        <v>600</v>
      </c>
      <c r="G258" s="75"/>
      <c r="H258" s="75">
        <f>846</f>
        <v>846</v>
      </c>
      <c r="I258" s="75">
        <f>446-154</f>
        <v>292</v>
      </c>
      <c r="J258" s="75">
        <f>554+446-154</f>
        <v>846</v>
      </c>
      <c r="K258" s="75">
        <v>1000</v>
      </c>
    </row>
    <row r="259" spans="1:11" ht="15.75" outlineLevel="5">
      <c r="A259" s="107" t="s">
        <v>275</v>
      </c>
      <c r="B259" s="18" t="s">
        <v>222</v>
      </c>
      <c r="C259" s="18" t="s">
        <v>67</v>
      </c>
      <c r="D259" s="18"/>
      <c r="E259" s="52"/>
      <c r="F259" s="31"/>
      <c r="G259" s="75">
        <f>SUM(G260+G263+G274)</f>
        <v>2685.2999999999997</v>
      </c>
      <c r="H259" s="75">
        <f>SUM(H260+H263+H274)</f>
        <v>15525.4</v>
      </c>
      <c r="I259" s="75">
        <f>SUM(I260+I263+I274)</f>
        <v>3607.8</v>
      </c>
      <c r="J259" s="75">
        <f>SUM(J260+J263+J274)</f>
        <v>15735.5</v>
      </c>
      <c r="K259" s="75">
        <f>SUM(K260+K263+K274)</f>
        <v>15290.2</v>
      </c>
    </row>
    <row r="260" spans="1:11" ht="47.25" outlineLevel="5">
      <c r="A260" s="107" t="s">
        <v>277</v>
      </c>
      <c r="B260" s="18" t="s">
        <v>222</v>
      </c>
      <c r="C260" s="18" t="s">
        <v>278</v>
      </c>
      <c r="D260" s="18"/>
      <c r="E260" s="52"/>
      <c r="F260" s="31"/>
      <c r="G260" s="75">
        <f aca="true" t="shared" si="15" ref="G260:K261">SUM(G261)</f>
        <v>600</v>
      </c>
      <c r="H260" s="75">
        <f t="shared" si="15"/>
        <v>2000</v>
      </c>
      <c r="I260" s="75">
        <f t="shared" si="15"/>
        <v>600</v>
      </c>
      <c r="J260" s="75">
        <f t="shared" si="15"/>
        <v>2000</v>
      </c>
      <c r="K260" s="75">
        <f t="shared" si="15"/>
        <v>2000</v>
      </c>
    </row>
    <row r="261" spans="1:11" ht="47.25" outlineLevel="5">
      <c r="A261" s="107" t="s">
        <v>52</v>
      </c>
      <c r="B261" s="18" t="s">
        <v>222</v>
      </c>
      <c r="C261" s="18" t="s">
        <v>278</v>
      </c>
      <c r="D261" s="18" t="s">
        <v>193</v>
      </c>
      <c r="E261" s="52">
        <v>0</v>
      </c>
      <c r="F261" s="31"/>
      <c r="G261" s="75">
        <f t="shared" si="15"/>
        <v>600</v>
      </c>
      <c r="H261" s="75">
        <f t="shared" si="15"/>
        <v>2000</v>
      </c>
      <c r="I261" s="75">
        <f t="shared" si="15"/>
        <v>600</v>
      </c>
      <c r="J261" s="75">
        <f t="shared" si="15"/>
        <v>2000</v>
      </c>
      <c r="K261" s="75">
        <f t="shared" si="15"/>
        <v>2000</v>
      </c>
    </row>
    <row r="262" spans="1:11" ht="25.5" customHeight="1" outlineLevel="5">
      <c r="A262" s="107" t="s">
        <v>54</v>
      </c>
      <c r="B262" s="18" t="s">
        <v>222</v>
      </c>
      <c r="C262" s="18" t="s">
        <v>278</v>
      </c>
      <c r="D262" s="18" t="s">
        <v>193</v>
      </c>
      <c r="E262" s="52">
        <v>0</v>
      </c>
      <c r="F262" s="31">
        <v>300</v>
      </c>
      <c r="G262" s="75">
        <f>600</f>
        <v>600</v>
      </c>
      <c r="H262" s="75">
        <f>1400+600</f>
        <v>2000</v>
      </c>
      <c r="I262" s="75">
        <f>600</f>
        <v>600</v>
      </c>
      <c r="J262" s="75">
        <f>1400+600</f>
        <v>2000</v>
      </c>
      <c r="K262" s="75">
        <v>2000</v>
      </c>
    </row>
    <row r="263" spans="1:11" ht="15.75" outlineLevel="5">
      <c r="A263" s="107" t="s">
        <v>280</v>
      </c>
      <c r="B263" s="18" t="s">
        <v>222</v>
      </c>
      <c r="C263" s="18" t="s">
        <v>282</v>
      </c>
      <c r="D263" s="18"/>
      <c r="E263" s="52"/>
      <c r="F263" s="31"/>
      <c r="G263" s="75">
        <f>SUM(G264+G266)</f>
        <v>1611.7</v>
      </c>
      <c r="H263" s="75">
        <f>SUM(H264+H266)</f>
        <v>9490.8</v>
      </c>
      <c r="I263" s="75">
        <f>SUM(I264+I266)</f>
        <v>2233.5</v>
      </c>
      <c r="J263" s="75">
        <f>SUM(J264+J266)</f>
        <v>9400.2</v>
      </c>
      <c r="K263" s="75">
        <f>SUM(K264+K266)</f>
        <v>8954.900000000001</v>
      </c>
    </row>
    <row r="264" spans="1:11" ht="101.25" customHeight="1" outlineLevel="5">
      <c r="A264" s="107" t="s">
        <v>91</v>
      </c>
      <c r="B264" s="18" t="s">
        <v>222</v>
      </c>
      <c r="C264" s="18" t="s">
        <v>282</v>
      </c>
      <c r="D264" s="18" t="s">
        <v>184</v>
      </c>
      <c r="E264" s="52">
        <v>0</v>
      </c>
      <c r="F264" s="31"/>
      <c r="G264" s="75">
        <f>SUM(G265)</f>
        <v>20</v>
      </c>
      <c r="H264" s="75">
        <f>SUM(H265)</f>
        <v>500</v>
      </c>
      <c r="I264" s="75">
        <f>SUM(I265)</f>
        <v>20</v>
      </c>
      <c r="J264" s="75">
        <f>SUM(J265)</f>
        <v>500</v>
      </c>
      <c r="K264" s="75">
        <f>SUM(K265)</f>
        <v>0</v>
      </c>
    </row>
    <row r="265" spans="1:11" ht="25.5" customHeight="1" outlineLevel="5">
      <c r="A265" s="107" t="s">
        <v>54</v>
      </c>
      <c r="B265" s="18" t="s">
        <v>222</v>
      </c>
      <c r="C265" s="18" t="s">
        <v>282</v>
      </c>
      <c r="D265" s="18" t="s">
        <v>184</v>
      </c>
      <c r="E265" s="52">
        <v>0</v>
      </c>
      <c r="F265" s="31">
        <v>300</v>
      </c>
      <c r="G265" s="75">
        <v>20</v>
      </c>
      <c r="H265" s="75">
        <f>480+20</f>
        <v>500</v>
      </c>
      <c r="I265" s="75">
        <v>20</v>
      </c>
      <c r="J265" s="75">
        <f>480+20</f>
        <v>500</v>
      </c>
      <c r="K265" s="75">
        <v>0</v>
      </c>
    </row>
    <row r="266" spans="1:11" ht="47.25" outlineLevel="5">
      <c r="A266" s="107" t="s">
        <v>52</v>
      </c>
      <c r="B266" s="18" t="s">
        <v>222</v>
      </c>
      <c r="C266" s="18" t="s">
        <v>282</v>
      </c>
      <c r="D266" s="18" t="s">
        <v>193</v>
      </c>
      <c r="E266" s="52">
        <v>0</v>
      </c>
      <c r="F266" s="31"/>
      <c r="G266" s="75">
        <f>SUM(G267+G271+G272+G273)</f>
        <v>1591.7</v>
      </c>
      <c r="H266" s="75">
        <f>SUM(H267+H271+H272+H273)</f>
        <v>8990.8</v>
      </c>
      <c r="I266" s="75">
        <f>SUM(I267+I271+I272+I273)</f>
        <v>2213.5</v>
      </c>
      <c r="J266" s="75">
        <f>SUM(J267+J271+J272+J273)</f>
        <v>8900.2</v>
      </c>
      <c r="K266" s="75">
        <f>SUM(K267+K271+K272+K273)</f>
        <v>8954.900000000001</v>
      </c>
    </row>
    <row r="267" spans="1:11" ht="145.5" customHeight="1" outlineLevel="5">
      <c r="A267" s="107" t="s">
        <v>302</v>
      </c>
      <c r="B267" s="18" t="s">
        <v>222</v>
      </c>
      <c r="C267" s="18" t="s">
        <v>282</v>
      </c>
      <c r="D267" s="18" t="s">
        <v>193</v>
      </c>
      <c r="E267" s="52">
        <v>0</v>
      </c>
      <c r="F267" s="31"/>
      <c r="G267" s="75">
        <f>SUM(G268:G270)</f>
        <v>424.8</v>
      </c>
      <c r="H267" s="75">
        <f>SUM(H268:H270)</f>
        <v>5320</v>
      </c>
      <c r="I267" s="75">
        <f>SUM(I268:I270)</f>
        <v>1137.2</v>
      </c>
      <c r="J267" s="75">
        <f>SUM(J268:J270)</f>
        <v>5320.000000000001</v>
      </c>
      <c r="K267" s="75">
        <f>SUM(K268:K270)</f>
        <v>5032.000000000001</v>
      </c>
    </row>
    <row r="268" spans="1:11" ht="25.5" customHeight="1" outlineLevel="5">
      <c r="A268" s="107" t="s">
        <v>54</v>
      </c>
      <c r="B268" s="18" t="s">
        <v>222</v>
      </c>
      <c r="C268" s="18" t="s">
        <v>282</v>
      </c>
      <c r="D268" s="18" t="s">
        <v>193</v>
      </c>
      <c r="E268" s="52">
        <v>0</v>
      </c>
      <c r="F268" s="31">
        <v>300</v>
      </c>
      <c r="G268" s="75">
        <f>424.8</f>
        <v>424.8</v>
      </c>
      <c r="H268" s="75">
        <f>4003.461+424.8</f>
        <v>4428.2609999999995</v>
      </c>
      <c r="I268" s="75">
        <f>1137.2</f>
        <v>1137.2</v>
      </c>
      <c r="J268" s="75">
        <f>3291.061+1137.2</f>
        <v>4428.261</v>
      </c>
      <c r="K268" s="75">
        <f>3291.061+1137.2-288</f>
        <v>4140.261</v>
      </c>
    </row>
    <row r="269" spans="1:11" ht="81.75" customHeight="1" outlineLevel="5">
      <c r="A269" s="107" t="s">
        <v>294</v>
      </c>
      <c r="B269" s="18" t="s">
        <v>222</v>
      </c>
      <c r="C269" s="18" t="s">
        <v>282</v>
      </c>
      <c r="D269" s="18" t="s">
        <v>193</v>
      </c>
      <c r="E269" s="52">
        <v>0</v>
      </c>
      <c r="F269" s="31">
        <v>100</v>
      </c>
      <c r="G269" s="75"/>
      <c r="H269" s="75">
        <f>643.2+79.756</f>
        <v>722.956</v>
      </c>
      <c r="I269" s="75"/>
      <c r="J269" s="75">
        <f>643.2+79.756</f>
        <v>722.956</v>
      </c>
      <c r="K269" s="75">
        <f>643.2+79.756</f>
        <v>722.956</v>
      </c>
    </row>
    <row r="270" spans="1:11" ht="31.5" outlineLevel="5">
      <c r="A270" s="107" t="s">
        <v>295</v>
      </c>
      <c r="B270" s="18" t="s">
        <v>222</v>
      </c>
      <c r="C270" s="18" t="s">
        <v>282</v>
      </c>
      <c r="D270" s="18" t="s">
        <v>193</v>
      </c>
      <c r="E270" s="52">
        <v>0</v>
      </c>
      <c r="F270" s="31">
        <v>200</v>
      </c>
      <c r="G270" s="75"/>
      <c r="H270" s="75">
        <f>87.7+81.083</f>
        <v>168.78300000000002</v>
      </c>
      <c r="I270" s="75"/>
      <c r="J270" s="75">
        <f>87.7+81.083</f>
        <v>168.78300000000002</v>
      </c>
      <c r="K270" s="75">
        <f>87.7+81.083</f>
        <v>168.78300000000002</v>
      </c>
    </row>
    <row r="271" spans="1:11" ht="122.25" customHeight="1" outlineLevel="5">
      <c r="A271" s="107" t="s">
        <v>303</v>
      </c>
      <c r="B271" s="18" t="s">
        <v>222</v>
      </c>
      <c r="C271" s="18" t="s">
        <v>282</v>
      </c>
      <c r="D271" s="18" t="s">
        <v>193</v>
      </c>
      <c r="E271" s="52">
        <v>0</v>
      </c>
      <c r="F271" s="31">
        <v>300</v>
      </c>
      <c r="G271" s="75">
        <v>342.7</v>
      </c>
      <c r="H271" s="75">
        <f>342.7</f>
        <v>342.7</v>
      </c>
      <c r="I271" s="75"/>
      <c r="J271" s="75">
        <v>0</v>
      </c>
      <c r="K271" s="75">
        <v>342.7</v>
      </c>
    </row>
    <row r="272" spans="1:11" ht="114.75" customHeight="1" outlineLevel="5">
      <c r="A272" s="107" t="s">
        <v>304</v>
      </c>
      <c r="B272" s="18" t="s">
        <v>222</v>
      </c>
      <c r="C272" s="18" t="s">
        <v>282</v>
      </c>
      <c r="D272" s="18" t="s">
        <v>193</v>
      </c>
      <c r="E272" s="52">
        <v>0</v>
      </c>
      <c r="F272" s="31">
        <v>300</v>
      </c>
      <c r="G272" s="75">
        <v>36.6</v>
      </c>
      <c r="H272" s="75">
        <f>18.6+36.6</f>
        <v>55.2</v>
      </c>
      <c r="I272" s="75">
        <v>36.6</v>
      </c>
      <c r="J272" s="75">
        <f>18.6+36.6</f>
        <v>55.2</v>
      </c>
      <c r="K272" s="75">
        <v>55.2</v>
      </c>
    </row>
    <row r="273" spans="1:11" ht="137.25" customHeight="1" outlineLevel="5">
      <c r="A273" s="107" t="s">
        <v>305</v>
      </c>
      <c r="B273" s="18" t="s">
        <v>222</v>
      </c>
      <c r="C273" s="18" t="s">
        <v>282</v>
      </c>
      <c r="D273" s="18" t="s">
        <v>193</v>
      </c>
      <c r="E273" s="52">
        <v>0</v>
      </c>
      <c r="F273" s="31">
        <v>300</v>
      </c>
      <c r="G273" s="75">
        <f>787.6</f>
        <v>787.6</v>
      </c>
      <c r="H273" s="75">
        <f>2485.3+787.6</f>
        <v>3272.9</v>
      </c>
      <c r="I273" s="75">
        <v>1039.7</v>
      </c>
      <c r="J273" s="75">
        <f>2485.3+1039.7</f>
        <v>3525</v>
      </c>
      <c r="K273" s="75">
        <v>3525</v>
      </c>
    </row>
    <row r="274" spans="1:11" ht="15.75">
      <c r="A274" s="107" t="s">
        <v>281</v>
      </c>
      <c r="B274" s="18" t="s">
        <v>222</v>
      </c>
      <c r="C274" s="18" t="s">
        <v>283</v>
      </c>
      <c r="D274" s="18"/>
      <c r="E274" s="52"/>
      <c r="F274" s="31"/>
      <c r="G274" s="75">
        <f>SUM(G275)</f>
        <v>473.6</v>
      </c>
      <c r="H274" s="75">
        <f>SUM(H275)</f>
        <v>4034.6</v>
      </c>
      <c r="I274" s="75">
        <f>SUM(I275)</f>
        <v>774.3</v>
      </c>
      <c r="J274" s="75">
        <f>SUM(J275)</f>
        <v>4335.3</v>
      </c>
      <c r="K274" s="75">
        <f>SUM(K275)</f>
        <v>4335.3</v>
      </c>
    </row>
    <row r="275" spans="1:11" ht="47.25">
      <c r="A275" s="107" t="s">
        <v>52</v>
      </c>
      <c r="B275" s="18" t="s">
        <v>222</v>
      </c>
      <c r="C275" s="18" t="s">
        <v>283</v>
      </c>
      <c r="D275" s="18" t="s">
        <v>193</v>
      </c>
      <c r="E275" s="52">
        <v>0</v>
      </c>
      <c r="F275" s="31"/>
      <c r="G275" s="75">
        <f>SUM(G276+G279)</f>
        <v>473.6</v>
      </c>
      <c r="H275" s="75">
        <f>SUM(H276+H279)</f>
        <v>4034.6</v>
      </c>
      <c r="I275" s="75">
        <f>SUM(I276+I279)</f>
        <v>774.3</v>
      </c>
      <c r="J275" s="75">
        <f>SUM(J276+J279)</f>
        <v>4335.3</v>
      </c>
      <c r="K275" s="75">
        <f>SUM(K276+K279)</f>
        <v>4335.3</v>
      </c>
    </row>
    <row r="276" spans="1:11" ht="204.75" customHeight="1">
      <c r="A276" s="107" t="s">
        <v>306</v>
      </c>
      <c r="B276" s="18" t="s">
        <v>222</v>
      </c>
      <c r="C276" s="18" t="s">
        <v>283</v>
      </c>
      <c r="D276" s="18" t="s">
        <v>193</v>
      </c>
      <c r="E276" s="52">
        <v>0</v>
      </c>
      <c r="F276" s="31"/>
      <c r="G276" s="75">
        <f>SUM(G277:G278)</f>
        <v>-101.6</v>
      </c>
      <c r="H276" s="75">
        <f>SUM(H277:H278)</f>
        <v>1084.9</v>
      </c>
      <c r="I276" s="75">
        <f>SUM(I277:I278)</f>
        <v>-18</v>
      </c>
      <c r="J276" s="75">
        <f>SUM(J277:J278)</f>
        <v>1168.5</v>
      </c>
      <c r="K276" s="75">
        <f>SUM(K277:K278)</f>
        <v>1168.5</v>
      </c>
    </row>
    <row r="277" spans="1:11" ht="15.75">
      <c r="A277" s="107" t="s">
        <v>279</v>
      </c>
      <c r="B277" s="18" t="s">
        <v>222</v>
      </c>
      <c r="C277" s="18" t="s">
        <v>283</v>
      </c>
      <c r="D277" s="18" t="s">
        <v>193</v>
      </c>
      <c r="E277" s="52">
        <v>0</v>
      </c>
      <c r="F277" s="31">
        <v>300</v>
      </c>
      <c r="G277" s="75">
        <f>-100.55</f>
        <v>-100.55</v>
      </c>
      <c r="H277" s="75">
        <f>1174.75-100.55</f>
        <v>1074.2</v>
      </c>
      <c r="I277" s="75">
        <f>-17.85</f>
        <v>-17.85</v>
      </c>
      <c r="J277" s="75">
        <f>1174.75-17.85</f>
        <v>1156.9</v>
      </c>
      <c r="K277" s="75">
        <v>1156.9</v>
      </c>
    </row>
    <row r="278" spans="1:11" ht="31.5">
      <c r="A278" s="107" t="s">
        <v>295</v>
      </c>
      <c r="B278" s="18" t="s">
        <v>222</v>
      </c>
      <c r="C278" s="18" t="s">
        <v>283</v>
      </c>
      <c r="D278" s="18" t="s">
        <v>193</v>
      </c>
      <c r="E278" s="52">
        <v>0</v>
      </c>
      <c r="F278" s="31">
        <v>200</v>
      </c>
      <c r="G278" s="75">
        <f>-1.05</f>
        <v>-1.05</v>
      </c>
      <c r="H278" s="75">
        <f>11.75-1.05</f>
        <v>10.7</v>
      </c>
      <c r="I278" s="75">
        <f>-0.15</f>
        <v>-0.15</v>
      </c>
      <c r="J278" s="75">
        <f>11.75-0.15</f>
        <v>11.6</v>
      </c>
      <c r="K278" s="75">
        <v>11.6</v>
      </c>
    </row>
    <row r="279" spans="1:11" ht="173.25" customHeight="1">
      <c r="A279" s="107" t="s">
        <v>307</v>
      </c>
      <c r="B279" s="18" t="s">
        <v>222</v>
      </c>
      <c r="C279" s="18" t="s">
        <v>283</v>
      </c>
      <c r="D279" s="18" t="s">
        <v>193</v>
      </c>
      <c r="E279" s="52">
        <v>0</v>
      </c>
      <c r="F279" s="31"/>
      <c r="G279" s="75">
        <f>SUM(G280:G281)</f>
        <v>575.2</v>
      </c>
      <c r="H279" s="75">
        <f>SUM(H280:H281)</f>
        <v>2949.7</v>
      </c>
      <c r="I279" s="75">
        <f>SUM(I280:I281)</f>
        <v>792.3</v>
      </c>
      <c r="J279" s="75">
        <f>SUM(J280:J281)</f>
        <v>3166.8</v>
      </c>
      <c r="K279" s="75">
        <f>SUM(K280:K281)</f>
        <v>3166.8</v>
      </c>
    </row>
    <row r="280" spans="1:11" ht="23.25" customHeight="1">
      <c r="A280" s="107" t="s">
        <v>308</v>
      </c>
      <c r="B280" s="18" t="s">
        <v>222</v>
      </c>
      <c r="C280" s="18" t="s">
        <v>283</v>
      </c>
      <c r="D280" s="18" t="s">
        <v>193</v>
      </c>
      <c r="E280" s="52">
        <v>0</v>
      </c>
      <c r="F280" s="31">
        <v>300</v>
      </c>
      <c r="G280" s="75">
        <v>445.9</v>
      </c>
      <c r="H280" s="75">
        <f>2031.6+445.9</f>
        <v>2477.5</v>
      </c>
      <c r="I280" s="75">
        <v>372.4</v>
      </c>
      <c r="J280" s="75">
        <f>2031.6+372.4</f>
        <v>2404</v>
      </c>
      <c r="K280" s="75">
        <v>2404</v>
      </c>
    </row>
    <row r="281" spans="1:11" ht="48.75" customHeight="1">
      <c r="A281" s="107" t="s">
        <v>309</v>
      </c>
      <c r="B281" s="18" t="s">
        <v>222</v>
      </c>
      <c r="C281" s="18" t="s">
        <v>283</v>
      </c>
      <c r="D281" s="18" t="s">
        <v>193</v>
      </c>
      <c r="E281" s="52">
        <v>0</v>
      </c>
      <c r="F281" s="31">
        <v>300</v>
      </c>
      <c r="G281" s="75">
        <v>129.3</v>
      </c>
      <c r="H281" s="75">
        <f>342.9+129.3</f>
        <v>472.2</v>
      </c>
      <c r="I281" s="75">
        <v>419.9</v>
      </c>
      <c r="J281" s="75">
        <f>342.9+419.9</f>
        <v>762.8</v>
      </c>
      <c r="K281" s="75">
        <v>762.8</v>
      </c>
    </row>
    <row r="282" spans="1:11" ht="15.75">
      <c r="A282" s="107" t="s">
        <v>284</v>
      </c>
      <c r="B282" s="18" t="s">
        <v>222</v>
      </c>
      <c r="C282" s="18" t="s">
        <v>19</v>
      </c>
      <c r="D282" s="18"/>
      <c r="E282" s="52"/>
      <c r="F282" s="31"/>
      <c r="G282" s="75">
        <f aca="true" t="shared" si="16" ref="G282:K283">SUM(G283)</f>
        <v>-100</v>
      </c>
      <c r="H282" s="75">
        <f t="shared" si="16"/>
        <v>600</v>
      </c>
      <c r="I282" s="75">
        <f t="shared" si="16"/>
        <v>-100</v>
      </c>
      <c r="J282" s="75">
        <f t="shared" si="16"/>
        <v>600</v>
      </c>
      <c r="K282" s="75">
        <f t="shared" si="16"/>
        <v>0</v>
      </c>
    </row>
    <row r="283" spans="1:11" ht="46.5" customHeight="1">
      <c r="A283" s="107" t="s">
        <v>47</v>
      </c>
      <c r="B283" s="18" t="s">
        <v>222</v>
      </c>
      <c r="C283" s="18" t="s">
        <v>285</v>
      </c>
      <c r="D283" s="18" t="s">
        <v>197</v>
      </c>
      <c r="E283" s="52">
        <v>0</v>
      </c>
      <c r="F283" s="31"/>
      <c r="G283" s="75">
        <f t="shared" si="16"/>
        <v>-100</v>
      </c>
      <c r="H283" s="75">
        <f t="shared" si="16"/>
        <v>600</v>
      </c>
      <c r="I283" s="75">
        <f t="shared" si="16"/>
        <v>-100</v>
      </c>
      <c r="J283" s="75">
        <f t="shared" si="16"/>
        <v>600</v>
      </c>
      <c r="K283" s="75">
        <f t="shared" si="16"/>
        <v>0</v>
      </c>
    </row>
    <row r="284" spans="1:11" ht="31.5">
      <c r="A284" s="107" t="s">
        <v>295</v>
      </c>
      <c r="B284" s="18" t="s">
        <v>222</v>
      </c>
      <c r="C284" s="18" t="s">
        <v>285</v>
      </c>
      <c r="D284" s="18" t="s">
        <v>197</v>
      </c>
      <c r="E284" s="52">
        <v>0</v>
      </c>
      <c r="F284" s="31">
        <v>200</v>
      </c>
      <c r="G284" s="75">
        <v>-100</v>
      </c>
      <c r="H284" s="75">
        <f>700-100</f>
        <v>600</v>
      </c>
      <c r="I284" s="75">
        <v>-100</v>
      </c>
      <c r="J284" s="75">
        <f>700-100</f>
        <v>600</v>
      </c>
      <c r="K284" s="75">
        <v>0</v>
      </c>
    </row>
    <row r="285" spans="1:11" ht="15.75">
      <c r="A285" s="107" t="s">
        <v>286</v>
      </c>
      <c r="B285" s="18" t="s">
        <v>222</v>
      </c>
      <c r="C285" s="18" t="s">
        <v>21</v>
      </c>
      <c r="D285" s="18"/>
      <c r="E285" s="52"/>
      <c r="F285" s="31"/>
      <c r="G285" s="75">
        <f>SUM(G286+G287)</f>
        <v>500</v>
      </c>
      <c r="H285" s="75">
        <f>SUM(H288)</f>
        <v>1200</v>
      </c>
      <c r="I285" s="75">
        <f>SUM(I288)</f>
        <v>500</v>
      </c>
      <c r="J285" s="75">
        <f>SUM(J288)</f>
        <v>1200</v>
      </c>
      <c r="K285" s="75">
        <f>SUM(K288)</f>
        <v>1200</v>
      </c>
    </row>
    <row r="286" spans="1:11" ht="15.75">
      <c r="A286" s="107" t="s">
        <v>120</v>
      </c>
      <c r="B286" s="18" t="s">
        <v>222</v>
      </c>
      <c r="C286" s="18" t="s">
        <v>121</v>
      </c>
      <c r="D286" s="18"/>
      <c r="E286" s="52"/>
      <c r="F286" s="123"/>
      <c r="G286" s="75"/>
      <c r="H286" s="75">
        <v>0</v>
      </c>
      <c r="I286" s="75">
        <v>0</v>
      </c>
      <c r="J286" s="75">
        <v>0</v>
      </c>
      <c r="K286" s="75">
        <v>0</v>
      </c>
    </row>
    <row r="287" spans="1:11" ht="15.75">
      <c r="A287" s="107" t="s">
        <v>287</v>
      </c>
      <c r="B287" s="18" t="s">
        <v>222</v>
      </c>
      <c r="C287" s="18" t="s">
        <v>288</v>
      </c>
      <c r="D287" s="18"/>
      <c r="E287" s="52"/>
      <c r="F287" s="123"/>
      <c r="G287" s="75">
        <f>SUM(G288)</f>
        <v>500</v>
      </c>
      <c r="H287" s="75">
        <f>SUM(H288)</f>
        <v>1200</v>
      </c>
      <c r="I287" s="75">
        <f>SUM(I288)</f>
        <v>500</v>
      </c>
      <c r="J287" s="75">
        <f>SUM(J288)</f>
        <v>1200</v>
      </c>
      <c r="K287" s="75">
        <f>SUM(K288)</f>
        <v>1200</v>
      </c>
    </row>
    <row r="288" spans="1:11" ht="50.25" customHeight="1">
      <c r="A288" s="107" t="s">
        <v>96</v>
      </c>
      <c r="B288" s="18" t="s">
        <v>222</v>
      </c>
      <c r="C288" s="18" t="s">
        <v>288</v>
      </c>
      <c r="D288" s="18" t="s">
        <v>24</v>
      </c>
      <c r="E288" s="52">
        <v>0</v>
      </c>
      <c r="F288" s="31"/>
      <c r="G288" s="75">
        <f>SUM(G289:G290)</f>
        <v>500</v>
      </c>
      <c r="H288" s="75">
        <f>SUM(H289:H290)</f>
        <v>1200</v>
      </c>
      <c r="I288" s="75">
        <f>SUM(I289:I290)</f>
        <v>500</v>
      </c>
      <c r="J288" s="75">
        <f>SUM(J289:J290)</f>
        <v>1200</v>
      </c>
      <c r="K288" s="75">
        <f>SUM(K289:K290)</f>
        <v>1200</v>
      </c>
    </row>
    <row r="289" spans="1:11" ht="42" customHeight="1">
      <c r="A289" s="107" t="s">
        <v>53</v>
      </c>
      <c r="B289" s="18" t="s">
        <v>222</v>
      </c>
      <c r="C289" s="18" t="s">
        <v>288</v>
      </c>
      <c r="D289" s="18" t="s">
        <v>24</v>
      </c>
      <c r="E289" s="52">
        <v>0</v>
      </c>
      <c r="F289" s="31">
        <v>600</v>
      </c>
      <c r="G289" s="75">
        <v>500</v>
      </c>
      <c r="H289" s="75">
        <f>700+500</f>
        <v>1200</v>
      </c>
      <c r="I289" s="75">
        <f>500</f>
        <v>500</v>
      </c>
      <c r="J289" s="75">
        <f>700+500</f>
        <v>1200</v>
      </c>
      <c r="K289" s="75">
        <v>1200</v>
      </c>
    </row>
    <row r="290" spans="1:11" ht="139.5" customHeight="1">
      <c r="A290" s="107" t="s">
        <v>137</v>
      </c>
      <c r="B290" s="18" t="s">
        <v>222</v>
      </c>
      <c r="C290" s="18" t="s">
        <v>288</v>
      </c>
      <c r="D290" s="18" t="s">
        <v>24</v>
      </c>
      <c r="E290" s="52">
        <v>0</v>
      </c>
      <c r="F290" s="31">
        <v>600</v>
      </c>
      <c r="G290" s="75"/>
      <c r="H290" s="75">
        <v>0</v>
      </c>
      <c r="I290" s="75"/>
      <c r="J290" s="75">
        <v>0</v>
      </c>
      <c r="K290" s="75">
        <v>0</v>
      </c>
    </row>
    <row r="291" spans="1:11" ht="31.5">
      <c r="A291" s="107" t="s">
        <v>289</v>
      </c>
      <c r="B291" s="18" t="s">
        <v>222</v>
      </c>
      <c r="C291" s="18" t="s">
        <v>22</v>
      </c>
      <c r="D291" s="18"/>
      <c r="E291" s="52"/>
      <c r="F291" s="31"/>
      <c r="G291" s="75">
        <f>SUM(G294)</f>
        <v>0</v>
      </c>
      <c r="H291" s="75">
        <f>SUM(H294)</f>
        <v>200</v>
      </c>
      <c r="I291" s="75">
        <f>SUM(I294)</f>
        <v>0</v>
      </c>
      <c r="J291" s="75">
        <f>SUM(J294)</f>
        <v>0</v>
      </c>
      <c r="K291" s="75">
        <f>SUM(K294)</f>
        <v>0</v>
      </c>
    </row>
    <row r="292" spans="1:11" ht="31.5">
      <c r="A292" s="107" t="s">
        <v>68</v>
      </c>
      <c r="B292" s="18" t="s">
        <v>222</v>
      </c>
      <c r="C292" s="18" t="s">
        <v>291</v>
      </c>
      <c r="D292" s="18"/>
      <c r="E292" s="52"/>
      <c r="F292" s="31"/>
      <c r="G292" s="75">
        <f>SUM(G293)</f>
        <v>0</v>
      </c>
      <c r="H292" s="75">
        <f aca="true" t="shared" si="17" ref="H292:K293">SUM(H293)</f>
        <v>200</v>
      </c>
      <c r="I292" s="75">
        <f t="shared" si="17"/>
        <v>0</v>
      </c>
      <c r="J292" s="75">
        <f t="shared" si="17"/>
        <v>0</v>
      </c>
      <c r="K292" s="75">
        <f t="shared" si="17"/>
        <v>0</v>
      </c>
    </row>
    <row r="293" spans="1:11" ht="47.25">
      <c r="A293" s="107" t="s">
        <v>52</v>
      </c>
      <c r="B293" s="18" t="s">
        <v>222</v>
      </c>
      <c r="C293" s="18" t="s">
        <v>291</v>
      </c>
      <c r="D293" s="18" t="s">
        <v>193</v>
      </c>
      <c r="E293" s="52">
        <v>0</v>
      </c>
      <c r="F293" s="31"/>
      <c r="G293" s="75">
        <f>SUM(G294)</f>
        <v>0</v>
      </c>
      <c r="H293" s="75">
        <f t="shared" si="17"/>
        <v>200</v>
      </c>
      <c r="I293" s="75">
        <f t="shared" si="17"/>
        <v>0</v>
      </c>
      <c r="J293" s="75">
        <f t="shared" si="17"/>
        <v>0</v>
      </c>
      <c r="K293" s="75">
        <f t="shared" si="17"/>
        <v>0</v>
      </c>
    </row>
    <row r="294" spans="1:11" ht="31.5">
      <c r="A294" s="107" t="s">
        <v>69</v>
      </c>
      <c r="B294" s="18" t="s">
        <v>222</v>
      </c>
      <c r="C294" s="18" t="s">
        <v>291</v>
      </c>
      <c r="D294" s="18" t="s">
        <v>193</v>
      </c>
      <c r="E294" s="52">
        <v>0</v>
      </c>
      <c r="F294" s="31">
        <v>700</v>
      </c>
      <c r="G294" s="75"/>
      <c r="H294" s="75">
        <f>500-300</f>
        <v>200</v>
      </c>
      <c r="I294" s="75"/>
      <c r="J294" s="75">
        <f>150-150</f>
        <v>0</v>
      </c>
      <c r="K294" s="75">
        <f>150-150</f>
        <v>0</v>
      </c>
    </row>
    <row r="295" spans="1:11" ht="47.25">
      <c r="A295" s="107" t="s">
        <v>72</v>
      </c>
      <c r="B295" s="18" t="s">
        <v>222</v>
      </c>
      <c r="C295" s="18" t="s">
        <v>73</v>
      </c>
      <c r="D295" s="18"/>
      <c r="E295" s="52"/>
      <c r="F295" s="31"/>
      <c r="G295" s="75">
        <f>SUM(G296)</f>
        <v>4723</v>
      </c>
      <c r="H295" s="75">
        <f aca="true" t="shared" si="18" ref="H295:K297">SUM(H296)</f>
        <v>4723</v>
      </c>
      <c r="I295" s="75">
        <f t="shared" si="18"/>
        <v>0</v>
      </c>
      <c r="J295" s="75">
        <f t="shared" si="18"/>
        <v>0</v>
      </c>
      <c r="K295" s="75">
        <f t="shared" si="18"/>
        <v>0</v>
      </c>
    </row>
    <row r="296" spans="1:11" ht="22.5" customHeight="1">
      <c r="A296" s="107" t="s">
        <v>74</v>
      </c>
      <c r="B296" s="18" t="s">
        <v>222</v>
      </c>
      <c r="C296" s="18" t="s">
        <v>75</v>
      </c>
      <c r="D296" s="18"/>
      <c r="E296" s="52"/>
      <c r="F296" s="31"/>
      <c r="G296" s="75">
        <f>SUM(G297)</f>
        <v>4723</v>
      </c>
      <c r="H296" s="75">
        <f t="shared" si="18"/>
        <v>4723</v>
      </c>
      <c r="I296" s="75">
        <f t="shared" si="18"/>
        <v>0</v>
      </c>
      <c r="J296" s="75">
        <f t="shared" si="18"/>
        <v>0</v>
      </c>
      <c r="K296" s="75">
        <f t="shared" si="18"/>
        <v>0</v>
      </c>
    </row>
    <row r="297" spans="1:11" ht="47.25">
      <c r="A297" s="107" t="s">
        <v>52</v>
      </c>
      <c r="B297" s="18" t="s">
        <v>222</v>
      </c>
      <c r="C297" s="18" t="s">
        <v>75</v>
      </c>
      <c r="D297" s="18" t="s">
        <v>193</v>
      </c>
      <c r="E297" s="52">
        <v>0</v>
      </c>
      <c r="F297" s="31"/>
      <c r="G297" s="75">
        <f>SUM(G298)</f>
        <v>4723</v>
      </c>
      <c r="H297" s="75">
        <f t="shared" si="18"/>
        <v>4723</v>
      </c>
      <c r="I297" s="75">
        <f t="shared" si="18"/>
        <v>0</v>
      </c>
      <c r="J297" s="75">
        <f t="shared" si="18"/>
        <v>0</v>
      </c>
      <c r="K297" s="75">
        <f t="shared" si="18"/>
        <v>0</v>
      </c>
    </row>
    <row r="298" spans="1:11" ht="15.75">
      <c r="A298" s="107" t="s">
        <v>55</v>
      </c>
      <c r="B298" s="18" t="s">
        <v>222</v>
      </c>
      <c r="C298" s="18" t="s">
        <v>75</v>
      </c>
      <c r="D298" s="18" t="s">
        <v>193</v>
      </c>
      <c r="E298" s="52">
        <v>0</v>
      </c>
      <c r="F298" s="31">
        <v>500</v>
      </c>
      <c r="G298" s="75">
        <v>4723</v>
      </c>
      <c r="H298" s="75">
        <f>4723</f>
        <v>4723</v>
      </c>
      <c r="I298" s="75"/>
      <c r="J298" s="75">
        <v>0</v>
      </c>
      <c r="K298" s="75">
        <v>0</v>
      </c>
    </row>
    <row r="299" spans="1:11" ht="15.75">
      <c r="A299" s="107" t="s">
        <v>292</v>
      </c>
      <c r="B299" s="18"/>
      <c r="C299" s="18"/>
      <c r="D299" s="18"/>
      <c r="E299" s="52"/>
      <c r="F299" s="31"/>
      <c r="G299" s="75">
        <f>SUM(G10+G18+G26)</f>
        <v>-11040.799999999985</v>
      </c>
      <c r="H299" s="75">
        <f>SUM(H10+H18+H26)</f>
        <v>244130.80000000002</v>
      </c>
      <c r="I299" s="75">
        <f>SUM(I10+I18+I26)</f>
        <v>7103.399999999986</v>
      </c>
      <c r="J299" s="75">
        <f>SUM(J10+J18+J26)</f>
        <v>242120.8</v>
      </c>
      <c r="K299" s="75">
        <f>SUM(K10+K18+K26)</f>
        <v>244195.1</v>
      </c>
    </row>
  </sheetData>
  <sheetProtection/>
  <mergeCells count="6">
    <mergeCell ref="E5:J5"/>
    <mergeCell ref="A6:K6"/>
    <mergeCell ref="G1:K1"/>
    <mergeCell ref="F2:K2"/>
    <mergeCell ref="F3:K3"/>
    <mergeCell ref="E4:K4"/>
  </mergeCells>
  <printOptions/>
  <pageMargins left="0.3937007874015748" right="0" top="0.3937007874015748" bottom="0.3937007874015748" header="0.5118110236220472" footer="0.5118110236220472"/>
  <pageSetup fitToHeight="16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294"/>
  <sheetViews>
    <sheetView showGridLines="0" zoomScalePageLayoutView="0" workbookViewId="0" topLeftCell="A1">
      <pane ySplit="9" topLeftCell="BM148" activePane="bottomLeft" state="frozen"/>
      <selection pane="topLeft" activeCell="A1" sqref="A1"/>
      <selection pane="bottomLeft" activeCell="A4" sqref="A4:J4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9.28125" style="12" customWidth="1"/>
    <col min="4" max="4" width="4.28125" style="13" customWidth="1"/>
    <col min="5" max="5" width="5.00390625" style="11" customWidth="1"/>
    <col min="6" max="6" width="12.140625" style="15" customWidth="1"/>
    <col min="7" max="9" width="11.00390625" style="15" customWidth="1"/>
    <col min="10" max="16384" width="9.140625" style="2" customWidth="1"/>
  </cols>
  <sheetData>
    <row r="1" spans="1:12" ht="18.75">
      <c r="A1" s="26"/>
      <c r="B1" s="27"/>
      <c r="C1" s="125" t="s">
        <v>28</v>
      </c>
      <c r="D1" s="125"/>
      <c r="E1" s="125"/>
      <c r="F1" s="125"/>
      <c r="G1" s="125"/>
      <c r="H1" s="125"/>
      <c r="I1" s="125"/>
      <c r="J1" s="125"/>
      <c r="K1" s="25"/>
      <c r="L1" s="25"/>
    </row>
    <row r="2" spans="1:12" ht="18.75">
      <c r="A2" s="26"/>
      <c r="B2" s="125" t="s">
        <v>172</v>
      </c>
      <c r="C2" s="125"/>
      <c r="D2" s="125"/>
      <c r="E2" s="125"/>
      <c r="F2" s="125"/>
      <c r="G2" s="125"/>
      <c r="H2" s="125"/>
      <c r="I2" s="125"/>
      <c r="J2" s="125"/>
      <c r="K2" s="25"/>
      <c r="L2" s="25"/>
    </row>
    <row r="3" spans="1:12" ht="18.75">
      <c r="A3" s="26"/>
      <c r="B3" s="27"/>
      <c r="C3" s="27"/>
      <c r="D3" s="28"/>
      <c r="E3" s="125" t="s">
        <v>26</v>
      </c>
      <c r="F3" s="125"/>
      <c r="G3" s="125"/>
      <c r="H3" s="125"/>
      <c r="I3" s="125"/>
      <c r="J3" s="125"/>
      <c r="K3" s="25"/>
      <c r="L3" s="25"/>
    </row>
    <row r="4" spans="1:12" ht="18.75">
      <c r="A4" s="125" t="s">
        <v>323</v>
      </c>
      <c r="B4" s="125"/>
      <c r="C4" s="125"/>
      <c r="D4" s="125"/>
      <c r="E4" s="125"/>
      <c r="F4" s="125"/>
      <c r="G4" s="125"/>
      <c r="H4" s="125"/>
      <c r="I4" s="125"/>
      <c r="J4" s="125"/>
      <c r="K4" s="25"/>
      <c r="L4" s="25"/>
    </row>
    <row r="5" spans="1:9" ht="15">
      <c r="A5" s="8"/>
      <c r="B5" s="1"/>
      <c r="C5" s="1"/>
      <c r="D5" s="5"/>
      <c r="E5" s="10"/>
      <c r="F5" s="127"/>
      <c r="G5" s="127"/>
      <c r="H5" s="127"/>
      <c r="I5" s="127"/>
    </row>
    <row r="6" spans="1:10" ht="33" customHeight="1">
      <c r="A6" s="128" t="s">
        <v>168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9" ht="12.75">
      <c r="A7" s="53"/>
      <c r="B7" s="54"/>
      <c r="C7" s="54"/>
      <c r="D7" s="55"/>
      <c r="E7" s="57"/>
      <c r="F7" s="56"/>
      <c r="G7" s="56"/>
      <c r="H7" s="56"/>
      <c r="I7" s="56"/>
    </row>
    <row r="8" spans="1:9" ht="12.75">
      <c r="A8" s="53"/>
      <c r="B8" s="54"/>
      <c r="C8" s="54"/>
      <c r="D8" s="55"/>
      <c r="E8" s="57"/>
      <c r="F8" s="56"/>
      <c r="G8" s="56"/>
      <c r="H8" s="56"/>
      <c r="I8" s="58" t="s">
        <v>43</v>
      </c>
    </row>
    <row r="9" spans="1:10" ht="87.75" customHeight="1">
      <c r="A9" s="70" t="s">
        <v>177</v>
      </c>
      <c r="B9" s="62" t="s">
        <v>49</v>
      </c>
      <c r="C9" s="77" t="s">
        <v>50</v>
      </c>
      <c r="D9" s="78" t="s">
        <v>185</v>
      </c>
      <c r="E9" s="79" t="s">
        <v>51</v>
      </c>
      <c r="F9" s="69" t="s">
        <v>159</v>
      </c>
      <c r="G9" s="69" t="s">
        <v>160</v>
      </c>
      <c r="H9" s="69" t="s">
        <v>161</v>
      </c>
      <c r="I9" s="69" t="s">
        <v>45</v>
      </c>
      <c r="J9" s="69" t="s">
        <v>162</v>
      </c>
    </row>
    <row r="10" spans="1:10" s="4" customFormat="1" ht="12.75" outlineLevel="3">
      <c r="A10" s="51" t="str">
        <f>'Таблица №9'!A11</f>
        <v>ОБЩЕГОСУДАРСТВЕННЫЕ ВОПРОСЫ</v>
      </c>
      <c r="B10" s="45" t="str">
        <f>'Таблица №9'!C11</f>
        <v>0100</v>
      </c>
      <c r="C10" s="45"/>
      <c r="D10" s="45"/>
      <c r="E10" s="45"/>
      <c r="F10" s="46">
        <f>SUM(F11+F20+F51+F55+F58+F14+F45)</f>
        <v>-5516.6900000000005</v>
      </c>
      <c r="G10" s="46">
        <f>SUM(G11+G20+G51+G55+G58+G14+G45)</f>
        <v>57562.009999999995</v>
      </c>
      <c r="H10" s="46">
        <f>SUM(H11+H20+H51+H55+H58+H14+H45)</f>
        <v>-3226.0899999999997</v>
      </c>
      <c r="I10" s="46">
        <f>SUM(I11+I20+I51+I55+I58+I14+I45)</f>
        <v>57624.21</v>
      </c>
      <c r="J10" s="46">
        <f>SUM(J11+J20+J51+J55+J58+J14+J45)</f>
        <v>56931.21</v>
      </c>
    </row>
    <row r="11" spans="1:10" s="4" customFormat="1" ht="38.25" outlineLevel="3">
      <c r="A11" s="51" t="str">
        <f>'Таблица №9'!A28</f>
        <v>Функционирование высшего должностного лица субъекта Российской Федерации и муниципального образования</v>
      </c>
      <c r="B11" s="45" t="str">
        <f>'Таблица №9'!C28</f>
        <v>0102</v>
      </c>
      <c r="C11" s="45"/>
      <c r="D11" s="45"/>
      <c r="E11" s="45"/>
      <c r="F11" s="46">
        <f aca="true" t="shared" si="0" ref="F11:J12">SUM(F12)</f>
        <v>1367.1</v>
      </c>
      <c r="G11" s="46">
        <f t="shared" si="0"/>
        <v>1367.1</v>
      </c>
      <c r="H11" s="46">
        <f t="shared" si="0"/>
        <v>1367.1</v>
      </c>
      <c r="I11" s="46">
        <f t="shared" si="0"/>
        <v>1367.1</v>
      </c>
      <c r="J11" s="46">
        <f t="shared" si="0"/>
        <v>1367.1</v>
      </c>
    </row>
    <row r="12" spans="1:10" s="4" customFormat="1" ht="38.25" outlineLevel="3">
      <c r="A12" s="51" t="str">
        <f>'Таблица №9'!A29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45" t="str">
        <f>'Таблица №9'!C29</f>
        <v>0102</v>
      </c>
      <c r="C12" s="45" t="s">
        <v>188</v>
      </c>
      <c r="D12" s="45" t="s">
        <v>186</v>
      </c>
      <c r="E12" s="45">
        <v>100</v>
      </c>
      <c r="F12" s="46">
        <f t="shared" si="0"/>
        <v>1367.1</v>
      </c>
      <c r="G12" s="46">
        <f t="shared" si="0"/>
        <v>1367.1</v>
      </c>
      <c r="H12" s="46">
        <f t="shared" si="0"/>
        <v>1367.1</v>
      </c>
      <c r="I12" s="46">
        <f t="shared" si="0"/>
        <v>1367.1</v>
      </c>
      <c r="J12" s="46">
        <f t="shared" si="0"/>
        <v>1367.1</v>
      </c>
    </row>
    <row r="13" spans="1:10" ht="63.75" outlineLevel="1">
      <c r="A13" s="51" t="str">
        <f>'Таблица №9'!A30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45" t="str">
        <f>'Таблица №9'!C30</f>
        <v>0102</v>
      </c>
      <c r="C13" s="45" t="s">
        <v>188</v>
      </c>
      <c r="D13" s="45">
        <v>0</v>
      </c>
      <c r="E13" s="45">
        <v>100</v>
      </c>
      <c r="F13" s="46">
        <f>SUM('Таблица №9'!G30)</f>
        <v>1367.1</v>
      </c>
      <c r="G13" s="46">
        <f>SUM('Таблица №9'!H30)</f>
        <v>1367.1</v>
      </c>
      <c r="H13" s="46">
        <f>SUM('Таблица №9'!I30)</f>
        <v>1367.1</v>
      </c>
      <c r="I13" s="46">
        <f>SUM('Таблица №9'!J30)</f>
        <v>1367.1</v>
      </c>
      <c r="J13" s="46">
        <f>SUM('Таблица №9'!K30)</f>
        <v>1367.1</v>
      </c>
    </row>
    <row r="14" spans="1:10" ht="42" customHeight="1" outlineLevel="1">
      <c r="A14" s="51" t="str">
        <f>'Таблица №9'!A12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45" t="str">
        <f>'Таблица №9'!C12</f>
        <v>0103</v>
      </c>
      <c r="C14" s="47"/>
      <c r="D14" s="45"/>
      <c r="E14" s="45"/>
      <c r="F14" s="46">
        <f>SUBTOTAL(9,'Таблица №9'!G11)</f>
        <v>0</v>
      </c>
      <c r="G14" s="46">
        <f>SUBTOTAL(9,'Таблица №9'!H11)</f>
        <v>380</v>
      </c>
      <c r="H14" s="46">
        <f>SUBTOTAL(9,'Таблица №9'!I11)</f>
        <v>0</v>
      </c>
      <c r="I14" s="46">
        <f>SUBTOTAL(9,'Таблица №9'!J11)</f>
        <v>380</v>
      </c>
      <c r="J14" s="46">
        <f>SUBTOTAL(9,'Таблица №9'!K11)</f>
        <v>380</v>
      </c>
    </row>
    <row r="15" spans="1:10" ht="29.25" customHeight="1" outlineLevel="1">
      <c r="A15" s="51" t="str">
        <f>'Таблица №9'!A13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45" t="str">
        <f>'Таблица №9'!C13</f>
        <v>0103</v>
      </c>
      <c r="C15" s="47"/>
      <c r="D15" s="45"/>
      <c r="E15" s="45"/>
      <c r="F15" s="46">
        <f>SUBTOTAL(9,'Таблица №9'!G12)</f>
        <v>0</v>
      </c>
      <c r="G15" s="46">
        <f>SUBTOTAL(9,'Таблица №9'!H12)</f>
        <v>380</v>
      </c>
      <c r="H15" s="46">
        <f>SUBTOTAL(9,'Таблица №9'!I12)</f>
        <v>0</v>
      </c>
      <c r="I15" s="46">
        <f>SUBTOTAL(9,'Таблица №9'!J12)</f>
        <v>380</v>
      </c>
      <c r="J15" s="46">
        <f>SUBTOTAL(9,'Таблица №9'!K12)</f>
        <v>380</v>
      </c>
    </row>
    <row r="16" spans="1:10" ht="63.75" outlineLevel="1">
      <c r="A16" s="51" t="str">
        <f>'Таблица №9'!A14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45" t="str">
        <f>'Таблица №9'!C14</f>
        <v>0103</v>
      </c>
      <c r="C16" s="45" t="str">
        <f>'Таблица №9'!D14</f>
        <v>90</v>
      </c>
      <c r="D16" s="45" t="str">
        <f>'Таблица №9'!E14</f>
        <v>0</v>
      </c>
      <c r="E16" s="45">
        <f>'Таблица №9'!F14</f>
        <v>100</v>
      </c>
      <c r="F16" s="46">
        <f>SUBTOTAL(9,'Таблица №9'!G14)</f>
        <v>0</v>
      </c>
      <c r="G16" s="46">
        <f>SUBTOTAL(9,'Таблица №9'!H14)</f>
        <v>332.4</v>
      </c>
      <c r="H16" s="46">
        <f>SUBTOTAL(9,'Таблица №9'!I14)</f>
        <v>0</v>
      </c>
      <c r="I16" s="46">
        <f>SUBTOTAL(9,'Таблица №9'!J14)</f>
        <v>332.4</v>
      </c>
      <c r="J16" s="46">
        <f>SUBTOTAL(9,'Таблица №9'!K14)</f>
        <v>332.4</v>
      </c>
    </row>
    <row r="17" spans="1:10" ht="25.5" outlineLevel="1">
      <c r="A17" s="51" t="str">
        <f>'Таблица №9'!A15</f>
        <v>Закупка товаров, работ и услуг для государственных (муниципальных) нужд</v>
      </c>
      <c r="B17" s="45" t="str">
        <f>'Таблица №9'!C15</f>
        <v>0103</v>
      </c>
      <c r="C17" s="45" t="str">
        <f>'Таблица №9'!D15</f>
        <v>90</v>
      </c>
      <c r="D17" s="45">
        <f>'Таблица №9'!E15</f>
        <v>0</v>
      </c>
      <c r="E17" s="45">
        <f>'Таблица №9'!F15</f>
        <v>200</v>
      </c>
      <c r="F17" s="46">
        <f>SUBTOTAL(9,'Таблица №9'!G15)</f>
        <v>0</v>
      </c>
      <c r="G17" s="46">
        <f>SUBTOTAL(9,'Таблица №9'!H15)</f>
        <v>47.5</v>
      </c>
      <c r="H17" s="46">
        <f>SUBTOTAL(9,'Таблица №9'!I15)</f>
        <v>0</v>
      </c>
      <c r="I17" s="46">
        <f>SUBTOTAL(9,'Таблица №9'!J15)</f>
        <v>47.5</v>
      </c>
      <c r="J17" s="46">
        <f>SUBTOTAL(9,'Таблица №9'!K15)</f>
        <v>47.5</v>
      </c>
    </row>
    <row r="18" spans="1:10" ht="34.5" customHeight="1" outlineLevel="1">
      <c r="A18" s="51" t="str">
        <f>'Таблица №9'!A16</f>
        <v>Непрограммные расходы органов местного самоуправления Алексеевского муниципального района</v>
      </c>
      <c r="B18" s="45" t="str">
        <f>'Таблица №9'!C16</f>
        <v>0103</v>
      </c>
      <c r="C18" s="45" t="str">
        <f>'Таблица №9'!D16</f>
        <v>99</v>
      </c>
      <c r="D18" s="45">
        <f>'Таблица №9'!E16</f>
        <v>0</v>
      </c>
      <c r="E18" s="59"/>
      <c r="F18" s="46">
        <f>SUBTOTAL(9,'Таблица №9'!G16)</f>
        <v>0</v>
      </c>
      <c r="G18" s="46">
        <f>SUBTOTAL(9,'Таблица №9'!H16)</f>
        <v>0.1</v>
      </c>
      <c r="H18" s="46">
        <f>SUBTOTAL(9,'Таблица №9'!I16)</f>
        <v>0</v>
      </c>
      <c r="I18" s="46">
        <f>SUBTOTAL(9,'Таблица №9'!J16)</f>
        <v>0.1</v>
      </c>
      <c r="J18" s="46">
        <f>SUBTOTAL(9,'Таблица №9'!K16)</f>
        <v>0.1</v>
      </c>
    </row>
    <row r="19" spans="1:10" ht="12.75" outlineLevel="1">
      <c r="A19" s="51" t="str">
        <f>'Таблица №9'!A17</f>
        <v>Иные бюджетные ассигнования</v>
      </c>
      <c r="B19" s="45" t="str">
        <f>'Таблица №9'!C17</f>
        <v>0103</v>
      </c>
      <c r="C19" s="45" t="str">
        <f>'Таблица №9'!D17</f>
        <v>99</v>
      </c>
      <c r="D19" s="45">
        <f>'Таблица №9'!E17</f>
        <v>0</v>
      </c>
      <c r="E19" s="45">
        <f>'Таблица №9'!F17</f>
        <v>800</v>
      </c>
      <c r="F19" s="46">
        <f>SUBTOTAL(9,'Таблица №9'!G17)</f>
        <v>0</v>
      </c>
      <c r="G19" s="46">
        <f>SUBTOTAL(9,'Таблица №9'!H17)</f>
        <v>0.1</v>
      </c>
      <c r="H19" s="46">
        <f>SUBTOTAL(9,'Таблица №9'!I17)</f>
        <v>0</v>
      </c>
      <c r="I19" s="46">
        <f>SUBTOTAL(9,'Таблица №9'!J17)</f>
        <v>0.1</v>
      </c>
      <c r="J19" s="46">
        <f>SUBTOTAL(9,'Таблица №9'!K17)</f>
        <v>0.1</v>
      </c>
    </row>
    <row r="20" spans="1:10" ht="51" outlineLevel="2">
      <c r="A20" s="43" t="str">
        <f>'Таблица №9'!A31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47" t="str">
        <f>'Таблица №9'!C31</f>
        <v>0104</v>
      </c>
      <c r="C20" s="47"/>
      <c r="D20" s="47"/>
      <c r="E20" s="47"/>
      <c r="F20" s="46">
        <f>'Таблица №9'!G31</f>
        <v>-1170.8999999999999</v>
      </c>
      <c r="G20" s="46">
        <f>'Таблица №9'!H31</f>
        <v>27992.5</v>
      </c>
      <c r="H20" s="46">
        <f>'Таблица №9'!I31</f>
        <v>-1108.6999999999998</v>
      </c>
      <c r="I20" s="46">
        <f>'Таблица №9'!J31</f>
        <v>28054.7</v>
      </c>
      <c r="J20" s="46">
        <f>'Таблица №9'!K31</f>
        <v>28091.7</v>
      </c>
    </row>
    <row r="21" spans="1:10" s="4" customFormat="1" ht="38.25" outlineLevel="3">
      <c r="A21" s="43" t="str">
        <f>'Таблица №9'!A32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47" t="str">
        <f>'Таблица №9'!C32</f>
        <v>0104</v>
      </c>
      <c r="C21" s="47" t="str">
        <f>'Таблица №9'!D32</f>
        <v>90</v>
      </c>
      <c r="D21" s="47">
        <f>'Таблица №9'!E32</f>
        <v>0</v>
      </c>
      <c r="E21" s="47"/>
      <c r="F21" s="46">
        <f>'Таблица №9'!G32</f>
        <v>-1170.8999999999999</v>
      </c>
      <c r="G21" s="46">
        <f>'Таблица №9'!H32</f>
        <v>27942.5</v>
      </c>
      <c r="H21" s="46">
        <f>'Таблица №9'!I32</f>
        <v>-1108.6999999999998</v>
      </c>
      <c r="I21" s="46">
        <f>'Таблица №9'!J32</f>
        <v>28004.7</v>
      </c>
      <c r="J21" s="46">
        <f>'Таблица №9'!K32</f>
        <v>28091.7</v>
      </c>
    </row>
    <row r="22" spans="1:10" s="4" customFormat="1" ht="12.75" outlineLevel="3">
      <c r="A22" s="43" t="str">
        <f>'Таблица №9'!A33</f>
        <v>Глава администрации муниципального образования</v>
      </c>
      <c r="B22" s="47" t="str">
        <f>'Таблица №9'!C33</f>
        <v>0104</v>
      </c>
      <c r="C22" s="47" t="str">
        <f>'Таблица №9'!D33</f>
        <v>90</v>
      </c>
      <c r="D22" s="47">
        <f>'Таблица №9'!E33</f>
        <v>0</v>
      </c>
      <c r="E22" s="47"/>
      <c r="F22" s="46">
        <f>'Таблица №9'!G33</f>
        <v>-1367.1</v>
      </c>
      <c r="G22" s="46">
        <f>'Таблица №9'!H33</f>
        <v>0</v>
      </c>
      <c r="H22" s="46">
        <f>'Таблица №9'!I33</f>
        <v>-1367.1</v>
      </c>
      <c r="I22" s="46">
        <f>'Таблица №9'!J33</f>
        <v>0</v>
      </c>
      <c r="J22" s="46">
        <f>'Таблица №9'!K33</f>
        <v>0</v>
      </c>
    </row>
    <row r="23" spans="1:10" s="4" customFormat="1" ht="63.75" outlineLevel="3">
      <c r="A23" s="43" t="str">
        <f>'Таблица №9'!A34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47" t="str">
        <f>'Таблица №9'!C34</f>
        <v>0104</v>
      </c>
      <c r="C23" s="47" t="str">
        <f>'Таблица №9'!D34</f>
        <v>90</v>
      </c>
      <c r="D23" s="47">
        <f>'Таблица №9'!E34</f>
        <v>0</v>
      </c>
      <c r="E23" s="47">
        <f>'Таблица №9'!F34</f>
        <v>100</v>
      </c>
      <c r="F23" s="46">
        <f>'Таблица №9'!G34</f>
        <v>-1367.1</v>
      </c>
      <c r="G23" s="46">
        <f>'Таблица №9'!H34</f>
        <v>0</v>
      </c>
      <c r="H23" s="46">
        <f>'Таблица №9'!I34</f>
        <v>-1367.1</v>
      </c>
      <c r="I23" s="46">
        <f>'Таблица №9'!J34</f>
        <v>0</v>
      </c>
      <c r="J23" s="46">
        <f>'Таблица №9'!K34</f>
        <v>0</v>
      </c>
    </row>
    <row r="24" spans="1:10" s="4" customFormat="1" ht="12.75" outlineLevel="3">
      <c r="A24" s="43" t="str">
        <f>'Таблица №9'!A35</f>
        <v>Центральный аппарат</v>
      </c>
      <c r="B24" s="47" t="str">
        <f>'Таблица №9'!C35</f>
        <v>0104</v>
      </c>
      <c r="C24" s="47" t="str">
        <f>'Таблица №9'!D35</f>
        <v>90</v>
      </c>
      <c r="D24" s="47">
        <f>'Таблица №9'!E35</f>
        <v>0</v>
      </c>
      <c r="E24" s="47"/>
      <c r="F24" s="46">
        <f>'Таблица №9'!G35</f>
        <v>418</v>
      </c>
      <c r="G24" s="46">
        <f>'Таблица №9'!H35</f>
        <v>26868.9</v>
      </c>
      <c r="H24" s="46">
        <f>'Таблица №9'!I35</f>
        <v>418</v>
      </c>
      <c r="I24" s="46">
        <f>'Таблица №9'!J35</f>
        <v>26868.9</v>
      </c>
      <c r="J24" s="46">
        <f>'Таблица №9'!K35</f>
        <v>26868.9</v>
      </c>
    </row>
    <row r="25" spans="1:10" s="4" customFormat="1" ht="63.75" outlineLevel="3">
      <c r="A25" s="43" t="str">
        <f>'Таблица №9'!A36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" s="47" t="str">
        <f>'Таблица №9'!C36</f>
        <v>0104</v>
      </c>
      <c r="C25" s="47" t="str">
        <f>'Таблица №9'!D36</f>
        <v>90</v>
      </c>
      <c r="D25" s="47">
        <f>'Таблица №9'!E36</f>
        <v>0</v>
      </c>
      <c r="E25" s="47">
        <f>'Таблица №9'!F36</f>
        <v>100</v>
      </c>
      <c r="F25" s="46">
        <f>'Таблица №9'!G36</f>
        <v>418</v>
      </c>
      <c r="G25" s="46">
        <f>'Таблица №9'!H36</f>
        <v>25328</v>
      </c>
      <c r="H25" s="46">
        <f>'Таблица №9'!I36</f>
        <v>418</v>
      </c>
      <c r="I25" s="46">
        <f>'Таблица №9'!J36</f>
        <v>25328</v>
      </c>
      <c r="J25" s="46">
        <f>'Таблица №9'!K36</f>
        <v>25328</v>
      </c>
    </row>
    <row r="26" spans="1:10" ht="25.5" outlineLevel="1">
      <c r="A26" s="43" t="str">
        <f>'Таблица №9'!A37</f>
        <v>Закупка товаров, работ и услуг для государственных (муниципальных) нужд</v>
      </c>
      <c r="B26" s="47" t="str">
        <f>'Таблица №9'!C37</f>
        <v>0104</v>
      </c>
      <c r="C26" s="47" t="str">
        <f>'Таблица №9'!D37</f>
        <v>90</v>
      </c>
      <c r="D26" s="47">
        <f>'Таблица №9'!E37</f>
        <v>0</v>
      </c>
      <c r="E26" s="47">
        <f>'Таблица №9'!F37</f>
        <v>200</v>
      </c>
      <c r="F26" s="46">
        <f>'Таблица №9'!G37</f>
        <v>0</v>
      </c>
      <c r="G26" s="46">
        <f>'Таблица №9'!H37</f>
        <v>1540.9</v>
      </c>
      <c r="H26" s="46">
        <f>'Таблица №9'!I37</f>
        <v>0</v>
      </c>
      <c r="I26" s="46">
        <f>'Таблица №9'!J37</f>
        <v>1540.9</v>
      </c>
      <c r="J26" s="46">
        <f>'Таблица №9'!K37</f>
        <v>1540.9</v>
      </c>
    </row>
    <row r="27" spans="1:10" ht="38.25" outlineLevel="2">
      <c r="A27" s="43" t="str">
        <f>'Таблица №9'!A38</f>
        <v>Непрограммные направления обеспечения деятельности органов местного самоуправления Алексеевского муниципального района</v>
      </c>
      <c r="B27" s="47" t="str">
        <f>'Таблица №9'!C38</f>
        <v>0104</v>
      </c>
      <c r="C27" s="47" t="str">
        <f>'Таблица №9'!D38</f>
        <v>90</v>
      </c>
      <c r="D27" s="47" t="str">
        <f>'Таблица №9'!E38</f>
        <v>0</v>
      </c>
      <c r="E27" s="47"/>
      <c r="F27" s="46">
        <f>'Таблица №9'!G38</f>
        <v>-221.8</v>
      </c>
      <c r="G27" s="46">
        <f>'Таблица №9'!H38</f>
        <v>1073.6</v>
      </c>
      <c r="H27" s="46">
        <f>'Таблица №9'!I38</f>
        <v>-159.6</v>
      </c>
      <c r="I27" s="46">
        <f>'Таблица №9'!J38</f>
        <v>1135.8</v>
      </c>
      <c r="J27" s="46">
        <f>'Таблица №9'!K38</f>
        <v>1222.8</v>
      </c>
    </row>
    <row r="28" spans="1:10" ht="40.5" customHeight="1" outlineLevel="2">
      <c r="A28" s="43" t="str">
        <f>'Таблица №9'!A39</f>
        <v>За счет субвенции на организационное обеспечение деятельности территориальных административных комиссий</v>
      </c>
      <c r="B28" s="47" t="str">
        <f>'Таблица №9'!C39</f>
        <v>0104</v>
      </c>
      <c r="C28" s="47" t="str">
        <f>'Таблица №9'!D39</f>
        <v>90</v>
      </c>
      <c r="D28" s="47" t="str">
        <f>'Таблица №9'!E39</f>
        <v>0</v>
      </c>
      <c r="E28" s="47"/>
      <c r="F28" s="46">
        <f>'Таблица №9'!G39</f>
        <v>-74.7</v>
      </c>
      <c r="G28" s="46">
        <f>'Таблица №9'!H39</f>
        <v>223.4</v>
      </c>
      <c r="H28" s="46">
        <f>'Таблица №9'!I39</f>
        <v>-149.2</v>
      </c>
      <c r="I28" s="46">
        <f>'Таблица №9'!J39</f>
        <v>148.9</v>
      </c>
      <c r="J28" s="46">
        <f>'Таблица №9'!K39</f>
        <v>148.9</v>
      </c>
    </row>
    <row r="29" spans="1:10" ht="25.5">
      <c r="A29" s="43" t="s">
        <v>295</v>
      </c>
      <c r="B29" s="47" t="s">
        <v>223</v>
      </c>
      <c r="C29" s="47" t="s">
        <v>188</v>
      </c>
      <c r="D29" s="60">
        <v>0</v>
      </c>
      <c r="E29" s="45">
        <v>200</v>
      </c>
      <c r="F29" s="61">
        <f>SUM('Таблица №9'!G37)</f>
        <v>0</v>
      </c>
      <c r="G29" s="61">
        <f>SUM('Таблица №9'!H37)</f>
        <v>1540.9</v>
      </c>
      <c r="H29" s="61">
        <f>SUM('Таблица №9'!I37)</f>
        <v>0</v>
      </c>
      <c r="I29" s="61">
        <f>SUM('Таблица №9'!J37)</f>
        <v>1540.9</v>
      </c>
      <c r="J29" s="61">
        <f>SUM('Таблица №9'!K37)</f>
        <v>1540.9</v>
      </c>
    </row>
    <row r="30" spans="1:10" ht="25.5" outlineLevel="1">
      <c r="A30" s="43" t="str">
        <f>'Таблица №9'!A41</f>
        <v>Закупка товаров, работ и услуг для государственных (муниципальных) нужд</v>
      </c>
      <c r="B30" s="47" t="str">
        <f>'Таблица №9'!C41</f>
        <v>0104</v>
      </c>
      <c r="C30" s="47" t="str">
        <f>'Таблица №9'!D41</f>
        <v>90</v>
      </c>
      <c r="D30" s="47" t="str">
        <f>'Таблица №9'!E41</f>
        <v>0</v>
      </c>
      <c r="E30" s="47">
        <f>'Таблица №9'!F41</f>
        <v>200</v>
      </c>
      <c r="F30" s="46">
        <f>'Таблица №9'!G41</f>
        <v>-74.7</v>
      </c>
      <c r="G30" s="46">
        <f>'Таблица №9'!H41</f>
        <v>7.099999999999994</v>
      </c>
      <c r="H30" s="46">
        <f>'Таблица №9'!I41</f>
        <v>-81.8</v>
      </c>
      <c r="I30" s="46">
        <f>'Таблица №9'!J41</f>
        <v>0</v>
      </c>
      <c r="J30" s="46">
        <f>'Таблица №9'!K41</f>
        <v>0</v>
      </c>
    </row>
    <row r="31" spans="1:10" ht="25.5" outlineLevel="2">
      <c r="A31" s="43" t="str">
        <f>'Таблица №9'!A42</f>
        <v>За счет субвенции на организацию и осуществление деятельности по опеке и попечительству</v>
      </c>
      <c r="B31" s="47" t="str">
        <f>'Таблица №9'!C42</f>
        <v>0104</v>
      </c>
      <c r="C31" s="47" t="str">
        <f>'Таблица №9'!D42</f>
        <v>90</v>
      </c>
      <c r="D31" s="47" t="str">
        <f>'Таблица №9'!E42</f>
        <v>0</v>
      </c>
      <c r="E31" s="47"/>
      <c r="F31" s="46">
        <f>'Таблица №9'!G42</f>
        <v>-234.1</v>
      </c>
      <c r="G31" s="46">
        <f>'Таблица №9'!H42</f>
        <v>447.2</v>
      </c>
      <c r="H31" s="46">
        <f>'Таблица №9'!I42</f>
        <v>-10.4</v>
      </c>
      <c r="I31" s="46">
        <f>'Таблица №9'!J42</f>
        <v>670.9</v>
      </c>
      <c r="J31" s="46">
        <f>'Таблица №9'!K42</f>
        <v>670.9</v>
      </c>
    </row>
    <row r="32" spans="1:10" ht="63.75" outlineLevel="1">
      <c r="A32" s="43" t="str">
        <f>'Таблица №9'!A43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" s="47" t="str">
        <f>'Таблица №9'!C43</f>
        <v>0104</v>
      </c>
      <c r="C32" s="47" t="str">
        <f>'Таблица №9'!D43</f>
        <v>90</v>
      </c>
      <c r="D32" s="47" t="str">
        <f>'Таблица №9'!E43</f>
        <v>0</v>
      </c>
      <c r="E32" s="47">
        <f>'Таблица №9'!F43</f>
        <v>100</v>
      </c>
      <c r="F32" s="46">
        <f>'Таблица №9'!G43</f>
        <v>-184.1</v>
      </c>
      <c r="G32" s="46">
        <f>'Таблица №9'!H43</f>
        <v>394.5</v>
      </c>
      <c r="H32" s="46">
        <f>'Таблица №9'!I43</f>
        <v>0</v>
      </c>
      <c r="I32" s="46">
        <f>'Таблица №9'!J43</f>
        <v>578.6</v>
      </c>
      <c r="J32" s="46">
        <f>'Таблица №9'!K43</f>
        <v>578.6</v>
      </c>
    </row>
    <row r="33" spans="1:10" ht="25.5" outlineLevel="5">
      <c r="A33" s="43" t="str">
        <f>'Таблица №9'!A44</f>
        <v>Закупка товаров, работ и услуг для государственных (муниципальных) нужд</v>
      </c>
      <c r="B33" s="47" t="str">
        <f>'Таблица №9'!C44</f>
        <v>0104</v>
      </c>
      <c r="C33" s="47" t="str">
        <f>'Таблица №9'!D44</f>
        <v>90</v>
      </c>
      <c r="D33" s="47" t="str">
        <f>'Таблица №9'!E44</f>
        <v>0</v>
      </c>
      <c r="E33" s="47">
        <f>'Таблица №9'!F44</f>
        <v>200</v>
      </c>
      <c r="F33" s="46">
        <f>'Таблица №9'!G44</f>
        <v>-50</v>
      </c>
      <c r="G33" s="46">
        <f>'Таблица №9'!H44</f>
        <v>52.7</v>
      </c>
      <c r="H33" s="46">
        <f>'Таблица №9'!I44</f>
        <v>-10.4</v>
      </c>
      <c r="I33" s="46">
        <f>'Таблица №9'!J44</f>
        <v>92.3</v>
      </c>
      <c r="J33" s="46">
        <f>'Таблица №9'!K44</f>
        <v>92.3</v>
      </c>
    </row>
    <row r="34" spans="1:10" ht="39.75" customHeight="1" outlineLevel="5">
      <c r="A34" s="43" t="str">
        <f>'Таблица №9'!A45</f>
        <v>За счет субвенции  на создание, исполнение функций и обеспечение деятельности муниципальных комиссий по делам несовершеннолетних и защите их прав</v>
      </c>
      <c r="B34" s="47" t="str">
        <f>'Таблица №9'!C45</f>
        <v>0104</v>
      </c>
      <c r="C34" s="47" t="str">
        <f>'Таблица №9'!D45</f>
        <v>90</v>
      </c>
      <c r="D34" s="47" t="str">
        <f>'Таблица №9'!E45</f>
        <v>0</v>
      </c>
      <c r="E34" s="47"/>
      <c r="F34" s="46">
        <f>'Таблица №9'!G45</f>
        <v>0</v>
      </c>
      <c r="G34" s="46">
        <f>'Таблица №9'!H45</f>
        <v>316</v>
      </c>
      <c r="H34" s="46">
        <f>'Таблица №9'!I45</f>
        <v>0</v>
      </c>
      <c r="I34" s="46">
        <f>'Таблица №9'!J45</f>
        <v>316</v>
      </c>
      <c r="J34" s="46">
        <f>'Таблица №9'!K45</f>
        <v>316</v>
      </c>
    </row>
    <row r="35" spans="1:10" ht="63.75" outlineLevel="5">
      <c r="A35" s="43" t="str">
        <f>'Таблица №9'!A46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" s="47" t="str">
        <f>'Таблица №9'!C46</f>
        <v>0104</v>
      </c>
      <c r="C35" s="47" t="str">
        <f>'Таблица №9'!D46</f>
        <v>90</v>
      </c>
      <c r="D35" s="47" t="str">
        <f>'Таблица №9'!E46</f>
        <v>0</v>
      </c>
      <c r="E35" s="47">
        <f>'Таблица №9'!F46</f>
        <v>100</v>
      </c>
      <c r="F35" s="46">
        <f>'Таблица №9'!G46</f>
        <v>0</v>
      </c>
      <c r="G35" s="46">
        <f>'Таблица №9'!H46</f>
        <v>289.1</v>
      </c>
      <c r="H35" s="46">
        <f>'Таблица №9'!I46</f>
        <v>0</v>
      </c>
      <c r="I35" s="46">
        <f>'Таблица №9'!J46</f>
        <v>289.1</v>
      </c>
      <c r="J35" s="46">
        <f>'Таблица №9'!K46</f>
        <v>289.1</v>
      </c>
    </row>
    <row r="36" spans="1:10" ht="25.5" outlineLevel="2">
      <c r="A36" s="43" t="str">
        <f>'Таблица №9'!A47</f>
        <v>Закупка товаров, работ и услуг для государственных (муниципальных) нужд</v>
      </c>
      <c r="B36" s="47" t="str">
        <f>'Таблица №9'!C47</f>
        <v>0104</v>
      </c>
      <c r="C36" s="47" t="str">
        <f>'Таблица №9'!D47</f>
        <v>90</v>
      </c>
      <c r="D36" s="47" t="str">
        <f>'Таблица №9'!E47</f>
        <v>0</v>
      </c>
      <c r="E36" s="47">
        <f>'Таблица №9'!F47</f>
        <v>200</v>
      </c>
      <c r="F36" s="46">
        <f>'Таблица №9'!G47</f>
        <v>0</v>
      </c>
      <c r="G36" s="46">
        <f>'Таблица №9'!H47</f>
        <v>26.9</v>
      </c>
      <c r="H36" s="46">
        <f>'Таблица №9'!I47</f>
        <v>0</v>
      </c>
      <c r="I36" s="46">
        <f>'Таблица №9'!J47</f>
        <v>26.9</v>
      </c>
      <c r="J36" s="46">
        <f>'Таблица №9'!K47</f>
        <v>26.9</v>
      </c>
    </row>
    <row r="37" spans="1:10" ht="51" outlineLevel="4">
      <c r="A37" s="43" t="str">
        <f>'Таблица №9'!A48</f>
        <v>За счет субвенции на деятельность  на хранение,  комплектование, учет и использование  архивных документов и архивных фондов, отнесенных к составу архивного фонда Волгоградской области</v>
      </c>
      <c r="B37" s="47" t="str">
        <f>'Таблица №9'!C48</f>
        <v>0104</v>
      </c>
      <c r="C37" s="47" t="str">
        <f>'Таблица №9'!D48</f>
        <v>90</v>
      </c>
      <c r="D37" s="47" t="str">
        <f>'Таблица №9'!E48</f>
        <v>0</v>
      </c>
      <c r="E37" s="47"/>
      <c r="F37" s="46">
        <f>'Таблица №9'!G48</f>
        <v>87</v>
      </c>
      <c r="G37" s="46">
        <f>'Таблица №9'!H48</f>
        <v>87</v>
      </c>
      <c r="H37" s="46">
        <f>'Таблица №9'!I48</f>
        <v>0</v>
      </c>
      <c r="I37" s="46">
        <f>'Таблица №9'!J48</f>
        <v>0</v>
      </c>
      <c r="J37" s="46">
        <f>'Таблица №9'!K48</f>
        <v>87</v>
      </c>
    </row>
    <row r="38" spans="1:10" ht="25.5" outlineLevel="5">
      <c r="A38" s="43" t="str">
        <f>'Таблица №9'!A49</f>
        <v>Закупка товаров, работ и услуг для государственных (муниципальных) нужд</v>
      </c>
      <c r="B38" s="47" t="str">
        <f>'Таблица №9'!C49</f>
        <v>0104</v>
      </c>
      <c r="C38" s="47" t="str">
        <f>'Таблица №9'!D49</f>
        <v>90</v>
      </c>
      <c r="D38" s="47" t="str">
        <f>'Таблица №9'!E49</f>
        <v>0</v>
      </c>
      <c r="E38" s="47">
        <f>'Таблица №9'!F49</f>
        <v>200</v>
      </c>
      <c r="F38" s="46">
        <f>'Таблица №9'!G49</f>
        <v>87</v>
      </c>
      <c r="G38" s="46">
        <f>'Таблица №9'!H49</f>
        <v>87</v>
      </c>
      <c r="H38" s="46">
        <f>'Таблица №9'!I49</f>
        <v>0</v>
      </c>
      <c r="I38" s="46">
        <f>'Таблица №9'!J49</f>
        <v>0</v>
      </c>
      <c r="J38" s="46">
        <f>'Таблица №9'!K49</f>
        <v>87</v>
      </c>
    </row>
    <row r="39" spans="1:10" ht="51" outlineLevel="4">
      <c r="A39" s="43" t="str">
        <f>'Таблица №9'!A50</f>
        <v>Муниципальная программа  "Развитие муниципальной службы в администрации Алексеевского муниципального района Волгоградской области на 2016-2018 годы"</v>
      </c>
      <c r="B39" s="47" t="str">
        <f>'Таблица №9'!C50</f>
        <v>0104</v>
      </c>
      <c r="C39" s="47" t="str">
        <f>'Таблица №9'!D50</f>
        <v>01</v>
      </c>
      <c r="D39" s="47">
        <f>'Таблица №9'!E50</f>
        <v>0</v>
      </c>
      <c r="E39" s="47"/>
      <c r="F39" s="46">
        <f>'Таблица №9'!G50</f>
        <v>0</v>
      </c>
      <c r="G39" s="46">
        <f>'Таблица №9'!H50</f>
        <v>50</v>
      </c>
      <c r="H39" s="46">
        <f>'Таблица №9'!I50</f>
        <v>0</v>
      </c>
      <c r="I39" s="46">
        <f>'Таблица №9'!J50</f>
        <v>50</v>
      </c>
      <c r="J39" s="46">
        <f>'Таблица №9'!K50</f>
        <v>0</v>
      </c>
    </row>
    <row r="40" spans="1:10" ht="27" customHeight="1" outlineLevel="4">
      <c r="A40" s="43" t="str">
        <f>'Таблица №9'!A51</f>
        <v>Закупка товаров, работ и услуг для государственных (муниципальных) нужд</v>
      </c>
      <c r="B40" s="47" t="str">
        <f>'Таблица №9'!C51</f>
        <v>0104</v>
      </c>
      <c r="C40" s="47" t="str">
        <f>'Таблица №9'!D51</f>
        <v>01</v>
      </c>
      <c r="D40" s="47">
        <f>'Таблица №9'!E51</f>
        <v>0</v>
      </c>
      <c r="E40" s="47">
        <f>'Таблица №9'!F51</f>
        <v>200</v>
      </c>
      <c r="F40" s="46">
        <f>'Таблица №9'!G51</f>
        <v>0</v>
      </c>
      <c r="G40" s="46">
        <f>'Таблица №9'!H51</f>
        <v>50</v>
      </c>
      <c r="H40" s="46">
        <f>'Таблица №9'!I51</f>
        <v>0</v>
      </c>
      <c r="I40" s="46">
        <f>'Таблица №9'!J51</f>
        <v>50</v>
      </c>
      <c r="J40" s="46">
        <f>'Таблица №9'!K51</f>
        <v>0</v>
      </c>
    </row>
    <row r="41" spans="1:10" ht="17.25" customHeight="1" outlineLevel="4">
      <c r="A41" s="43" t="str">
        <f>'Таблица №9'!A52</f>
        <v>Судебная система</v>
      </c>
      <c r="B41" s="47" t="str">
        <f>'Таблица №9'!C52</f>
        <v>0105</v>
      </c>
      <c r="C41" s="47"/>
      <c r="D41" s="47"/>
      <c r="E41" s="47"/>
      <c r="F41" s="46">
        <f>'Таблица №9'!G52</f>
        <v>0</v>
      </c>
      <c r="G41" s="46">
        <f>'Таблица №9'!H52</f>
        <v>0</v>
      </c>
      <c r="H41" s="46">
        <f>'Таблица №9'!I52</f>
        <v>0</v>
      </c>
      <c r="I41" s="46">
        <f>'Таблица №9'!J52</f>
        <v>0</v>
      </c>
      <c r="J41" s="46">
        <f>'Таблица №9'!K52</f>
        <v>0</v>
      </c>
    </row>
    <row r="42" spans="1:10" ht="27" customHeight="1" outlineLevel="4">
      <c r="A42" s="43" t="str">
        <f>'Таблица №9'!A53</f>
        <v>Составление (изменение) списков кандидатов в присяжные заседатели федеральных судов общей юрисдикции в Российской Федерации</v>
      </c>
      <c r="B42" s="47" t="str">
        <f>'Таблица №9'!C53</f>
        <v>0105</v>
      </c>
      <c r="C42" s="47" t="str">
        <f>'Таблица №9'!D53</f>
        <v>99</v>
      </c>
      <c r="D42" s="47">
        <f>'Таблица №9'!E53</f>
        <v>0</v>
      </c>
      <c r="E42" s="47"/>
      <c r="F42" s="46">
        <f>'Таблица №9'!G53</f>
        <v>0</v>
      </c>
      <c r="G42" s="46">
        <f>'Таблица №9'!H53</f>
        <v>0</v>
      </c>
      <c r="H42" s="46">
        <f>'Таблица №9'!I53</f>
        <v>0</v>
      </c>
      <c r="I42" s="46">
        <f>'Таблица №9'!J53</f>
        <v>0</v>
      </c>
      <c r="J42" s="46">
        <f>'Таблица №9'!K53</f>
        <v>0</v>
      </c>
    </row>
    <row r="43" spans="1:10" ht="27" customHeight="1" outlineLevel="4">
      <c r="A43" s="43" t="str">
        <f>'Таблица №9'!A54</f>
        <v>Непрограммные расходы органов местного самоуправления Алексеевского муниципального района</v>
      </c>
      <c r="B43" s="47" t="str">
        <f>'Таблица №9'!C54</f>
        <v>0105</v>
      </c>
      <c r="C43" s="47" t="str">
        <f>'Таблица №9'!D54</f>
        <v>99</v>
      </c>
      <c r="D43" s="47">
        <f>'Таблица №9'!E54</f>
        <v>0</v>
      </c>
      <c r="E43" s="47"/>
      <c r="F43" s="46">
        <f>'Таблица №9'!G54</f>
        <v>0</v>
      </c>
      <c r="G43" s="46">
        <f>'Таблица №9'!H54</f>
        <v>0</v>
      </c>
      <c r="H43" s="46">
        <f>'Таблица №9'!I54</f>
        <v>0</v>
      </c>
      <c r="I43" s="46">
        <f>'Таблица №9'!J54</f>
        <v>0</v>
      </c>
      <c r="J43" s="46">
        <f>'Таблица №9'!K54</f>
        <v>0</v>
      </c>
    </row>
    <row r="44" spans="1:10" ht="27" customHeight="1" outlineLevel="4">
      <c r="A44" s="43" t="str">
        <f>'Таблица №9'!A55</f>
        <v>Закупка товаров, работ и услуг для государственных (муниципальных) нужд</v>
      </c>
      <c r="B44" s="47" t="str">
        <f>'Таблица №9'!C55</f>
        <v>0105</v>
      </c>
      <c r="C44" s="47" t="str">
        <f>'Таблица №9'!D55</f>
        <v>99</v>
      </c>
      <c r="D44" s="47">
        <f>'Таблица №9'!E55</f>
        <v>0</v>
      </c>
      <c r="E44" s="47">
        <f>'Таблица №9'!F55</f>
        <v>200</v>
      </c>
      <c r="F44" s="46">
        <f>'Таблица №9'!G55</f>
        <v>0</v>
      </c>
      <c r="G44" s="46">
        <f>'Таблица №9'!H55</f>
        <v>0</v>
      </c>
      <c r="H44" s="46">
        <f>'Таблица №9'!I55</f>
        <v>0</v>
      </c>
      <c r="I44" s="46">
        <f>'Таблица №9'!J55</f>
        <v>0</v>
      </c>
      <c r="J44" s="46">
        <f>'Таблица №9'!K55</f>
        <v>0</v>
      </c>
    </row>
    <row r="45" spans="1:10" ht="38.25" outlineLevel="2">
      <c r="A45" s="51" t="str">
        <f>'Таблица №9'!A20</f>
        <v>Обеспечение деятельности финансовых, налоговых и таможенных органов и органов финансового (финансово-бюджетного) надзора</v>
      </c>
      <c r="B45" s="47" t="str">
        <f>'Таблица №9'!C20</f>
        <v>0106</v>
      </c>
      <c r="C45" s="47"/>
      <c r="D45" s="47"/>
      <c r="E45" s="47"/>
      <c r="F45" s="46">
        <f>'Таблица №9'!G19</f>
        <v>0</v>
      </c>
      <c r="G45" s="46">
        <f>'Таблица №9'!H19</f>
        <v>1486</v>
      </c>
      <c r="H45" s="46">
        <f>'Таблица №9'!I19</f>
        <v>0</v>
      </c>
      <c r="I45" s="46">
        <f>'Таблица №9'!J19</f>
        <v>1486</v>
      </c>
      <c r="J45" s="46">
        <f>'Таблица №9'!K19</f>
        <v>1486</v>
      </c>
    </row>
    <row r="46" spans="1:10" ht="38.25" outlineLevel="2">
      <c r="A46" s="51" t="str">
        <f>'Таблица №9'!A21</f>
        <v>Непрограммные направления обеспечения деятельности органов местного самоуправления Алексеевского муниципального района</v>
      </c>
      <c r="B46" s="47" t="str">
        <f>'Таблица №9'!C21</f>
        <v>0106</v>
      </c>
      <c r="C46" s="47" t="str">
        <f>'Таблица №9'!D21</f>
        <v>90</v>
      </c>
      <c r="D46" s="47" t="str">
        <f>'Таблица №9'!E21</f>
        <v>0</v>
      </c>
      <c r="E46" s="47"/>
      <c r="F46" s="46">
        <f>'Таблица №9'!G20</f>
        <v>0</v>
      </c>
      <c r="G46" s="46">
        <f>'Таблица №9'!H20</f>
        <v>1486</v>
      </c>
      <c r="H46" s="46">
        <f>'Таблица №9'!I20</f>
        <v>0</v>
      </c>
      <c r="I46" s="46">
        <f>'Таблица №9'!J20</f>
        <v>1486</v>
      </c>
      <c r="J46" s="46">
        <f>'Таблица №9'!K20</f>
        <v>1486</v>
      </c>
    </row>
    <row r="47" spans="1:10" ht="63.75" outlineLevel="2">
      <c r="A47" s="51" t="str">
        <f>'Таблица №9'!A22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47" t="str">
        <f>'Таблица №9'!C22</f>
        <v>0106</v>
      </c>
      <c r="C47" s="47" t="str">
        <f>'Таблица №9'!D22</f>
        <v>90</v>
      </c>
      <c r="D47" s="47" t="str">
        <f>'Таблица №9'!E22</f>
        <v>0</v>
      </c>
      <c r="E47" s="47">
        <f>'Таблица №9'!F22</f>
        <v>100</v>
      </c>
      <c r="F47" s="46">
        <f>'Таблица №9'!G22</f>
        <v>0</v>
      </c>
      <c r="G47" s="46">
        <f>'Таблица №9'!H22</f>
        <v>1460.8</v>
      </c>
      <c r="H47" s="46">
        <f>'Таблица №9'!I22</f>
        <v>0</v>
      </c>
      <c r="I47" s="46">
        <f>'Таблица №9'!J22</f>
        <v>1460.8</v>
      </c>
      <c r="J47" s="46">
        <f>'Таблица №9'!K22</f>
        <v>1460.8</v>
      </c>
    </row>
    <row r="48" spans="1:10" ht="25.5" outlineLevel="2">
      <c r="A48" s="51" t="str">
        <f>'Таблица №9'!A23</f>
        <v>Закупка товаров, работ и услуг для государственных (муниципальных) нужд</v>
      </c>
      <c r="B48" s="47" t="str">
        <f>'Таблица №9'!C23</f>
        <v>0106</v>
      </c>
      <c r="C48" s="47" t="str">
        <f>'Таблица №9'!D23</f>
        <v>90</v>
      </c>
      <c r="D48" s="47">
        <f>'Таблица №9'!E23</f>
        <v>0</v>
      </c>
      <c r="E48" s="47">
        <f>'Таблица №9'!F23</f>
        <v>200</v>
      </c>
      <c r="F48" s="46">
        <f>'Таблица №9'!G23</f>
        <v>0</v>
      </c>
      <c r="G48" s="46">
        <f>'Таблица №9'!H23</f>
        <v>24.7</v>
      </c>
      <c r="H48" s="46">
        <f>'Таблица №9'!I23</f>
        <v>0</v>
      </c>
      <c r="I48" s="46">
        <f>'Таблица №9'!J23</f>
        <v>24.7</v>
      </c>
      <c r="J48" s="46">
        <f>'Таблица №9'!K23</f>
        <v>24.7</v>
      </c>
    </row>
    <row r="49" spans="1:10" ht="28.5" customHeight="1" outlineLevel="2">
      <c r="A49" s="51" t="str">
        <f>'Таблица №9'!A24</f>
        <v>Непрограммные расходы органов местного самоуправления Алексеевского муниципального района</v>
      </c>
      <c r="B49" s="47" t="str">
        <f>'Таблица №9'!C24</f>
        <v>0106</v>
      </c>
      <c r="C49" s="47" t="str">
        <f>'Таблица №9'!D24</f>
        <v>99</v>
      </c>
      <c r="D49" s="47">
        <f>'Таблица №9'!E24</f>
        <v>0</v>
      </c>
      <c r="E49" s="47"/>
      <c r="F49" s="46">
        <f>'Таблица №9'!G24</f>
        <v>0</v>
      </c>
      <c r="G49" s="46">
        <f>'Таблица №9'!H24</f>
        <v>0.5</v>
      </c>
      <c r="H49" s="46">
        <f>'Таблица №9'!I24</f>
        <v>0</v>
      </c>
      <c r="I49" s="46">
        <f>'Таблица №9'!J24</f>
        <v>0.5</v>
      </c>
      <c r="J49" s="46">
        <f>'Таблица №9'!K24</f>
        <v>0.5</v>
      </c>
    </row>
    <row r="50" spans="1:10" ht="12.75" outlineLevel="2">
      <c r="A50" s="51" t="str">
        <f>'Таблица №9'!A25</f>
        <v>Иные бюджетные ассигнования</v>
      </c>
      <c r="B50" s="47" t="str">
        <f>'Таблица №9'!C25</f>
        <v>0106</v>
      </c>
      <c r="C50" s="47" t="str">
        <f>'Таблица №9'!D25</f>
        <v>99</v>
      </c>
      <c r="D50" s="47">
        <f>'Таблица №9'!E25</f>
        <v>0</v>
      </c>
      <c r="E50" s="47">
        <f>'Таблица №9'!F25</f>
        <v>800</v>
      </c>
      <c r="F50" s="46">
        <f>'Таблица №9'!G25</f>
        <v>0</v>
      </c>
      <c r="G50" s="46">
        <f>'Таблица №9'!H25</f>
        <v>0.5</v>
      </c>
      <c r="H50" s="46">
        <f>'Таблица №9'!I25</f>
        <v>0</v>
      </c>
      <c r="I50" s="46">
        <f>'Таблица №9'!J25</f>
        <v>0.5</v>
      </c>
      <c r="J50" s="46">
        <f>'Таблица №9'!K25</f>
        <v>0.5</v>
      </c>
    </row>
    <row r="51" spans="1:10" ht="12.75" outlineLevel="2">
      <c r="A51" s="51" t="str">
        <f>'Таблица №9'!A56</f>
        <v>Обеспечение проведения выборов и референдумов</v>
      </c>
      <c r="B51" s="47" t="str">
        <f>'Таблица №9'!C56</f>
        <v>0107</v>
      </c>
      <c r="C51" s="47">
        <f>'Таблица №9'!D56</f>
        <v>0</v>
      </c>
      <c r="D51" s="47">
        <f>'Таблица №9'!E56</f>
        <v>0</v>
      </c>
      <c r="E51" s="47"/>
      <c r="F51" s="46">
        <f>'Таблица №9'!G56</f>
        <v>0</v>
      </c>
      <c r="G51" s="46">
        <f>'Таблица №9'!H56</f>
        <v>0</v>
      </c>
      <c r="H51" s="46">
        <f>'Таблица №9'!I56</f>
        <v>0</v>
      </c>
      <c r="I51" s="46">
        <f>'Таблица №9'!J56</f>
        <v>0</v>
      </c>
      <c r="J51" s="46">
        <f>'Таблица №9'!K56</f>
        <v>0</v>
      </c>
    </row>
    <row r="52" spans="1:10" ht="12.75" outlineLevel="2">
      <c r="A52" s="51" t="str">
        <f>'Таблица №9'!A57</f>
        <v>Проведение выборов и референдумов</v>
      </c>
      <c r="B52" s="47" t="str">
        <f>'Таблица №9'!C57</f>
        <v>0107</v>
      </c>
      <c r="C52" s="47" t="str">
        <f>'Таблица №9'!D57</f>
        <v>99</v>
      </c>
      <c r="D52" s="47" t="str">
        <f>'Таблица №9'!E57</f>
        <v>0</v>
      </c>
      <c r="E52" s="47"/>
      <c r="F52" s="46">
        <f>'Таблица №9'!G57</f>
        <v>0</v>
      </c>
      <c r="G52" s="46">
        <f>'Таблица №9'!H57</f>
        <v>0</v>
      </c>
      <c r="H52" s="46">
        <f>'Таблица №9'!I57</f>
        <v>0</v>
      </c>
      <c r="I52" s="46">
        <f>'Таблица №9'!J57</f>
        <v>0</v>
      </c>
      <c r="J52" s="46">
        <f>'Таблица №9'!K57</f>
        <v>0</v>
      </c>
    </row>
    <row r="53" spans="1:10" ht="30" customHeight="1" outlineLevel="5">
      <c r="A53" s="51" t="str">
        <f>'Таблица №9'!A58</f>
        <v>Непрограммные расходы органов местного самоуправления Алексеевского муниципального района</v>
      </c>
      <c r="B53" s="47" t="str">
        <f>'Таблица №9'!C58</f>
        <v>0107</v>
      </c>
      <c r="C53" s="47" t="str">
        <f>'Таблица №9'!D58</f>
        <v>99</v>
      </c>
      <c r="D53" s="47" t="str">
        <f>'Таблица №9'!E58</f>
        <v>0</v>
      </c>
      <c r="E53" s="47"/>
      <c r="F53" s="46">
        <f>'Таблица №9'!G58</f>
        <v>0</v>
      </c>
      <c r="G53" s="46">
        <f>'Таблица №9'!H58</f>
        <v>0</v>
      </c>
      <c r="H53" s="46">
        <f>'Таблица №9'!I58</f>
        <v>0</v>
      </c>
      <c r="I53" s="46">
        <f>'Таблица №9'!J58</f>
        <v>0</v>
      </c>
      <c r="J53" s="46">
        <f>'Таблица №9'!K58</f>
        <v>0</v>
      </c>
    </row>
    <row r="54" spans="1:10" ht="25.5" outlineLevel="5">
      <c r="A54" s="51" t="str">
        <f>'Таблица №9'!A59</f>
        <v>Закупка товаров, работ и услуг для государственных (муниципальных) нужд</v>
      </c>
      <c r="B54" s="47" t="str">
        <f>'Таблица №9'!C59</f>
        <v>0107</v>
      </c>
      <c r="C54" s="47" t="str">
        <f>'Таблица №9'!D59</f>
        <v>99</v>
      </c>
      <c r="D54" s="47">
        <f>'Таблица №9'!E59</f>
        <v>0</v>
      </c>
      <c r="E54" s="47">
        <f>'Таблица №9'!F59</f>
        <v>200</v>
      </c>
      <c r="F54" s="46">
        <f>'Таблица №9'!G59</f>
        <v>0</v>
      </c>
      <c r="G54" s="46">
        <f>'Таблица №9'!H59</f>
        <v>0</v>
      </c>
      <c r="H54" s="46">
        <f>'Таблица №9'!I59</f>
        <v>0</v>
      </c>
      <c r="I54" s="46">
        <f>'Таблица №9'!J59</f>
        <v>0</v>
      </c>
      <c r="J54" s="46">
        <f>'Таблица №9'!K59</f>
        <v>0</v>
      </c>
    </row>
    <row r="55" spans="1:10" ht="12.75" outlineLevel="5">
      <c r="A55" s="51" t="str">
        <f>'Таблица №9'!A60</f>
        <v>Резервные фонды</v>
      </c>
      <c r="B55" s="47" t="str">
        <f>'Таблица №9'!C60</f>
        <v>0111</v>
      </c>
      <c r="C55" s="47">
        <f>'Таблица №9'!D60</f>
        <v>0</v>
      </c>
      <c r="D55" s="47">
        <f>'Таблица №9'!E60</f>
        <v>0</v>
      </c>
      <c r="E55" s="47"/>
      <c r="F55" s="46">
        <f>'Таблица №9'!G60</f>
        <v>0</v>
      </c>
      <c r="G55" s="46">
        <f>'Таблица №9'!H60</f>
        <v>320</v>
      </c>
      <c r="H55" s="46">
        <f>'Таблица №9'!I60</f>
        <v>0</v>
      </c>
      <c r="I55" s="46">
        <f>'Таблица №9'!J60</f>
        <v>320</v>
      </c>
      <c r="J55" s="46">
        <f>'Таблица №9'!K60</f>
        <v>320</v>
      </c>
    </row>
    <row r="56" spans="1:10" ht="30.75" customHeight="1" outlineLevel="1">
      <c r="A56" s="51" t="str">
        <f>'Таблица №9'!A61</f>
        <v>Непрограммные расходы органов местного самоуправления Алексеевского муниципального района</v>
      </c>
      <c r="B56" s="47" t="str">
        <f>'Таблица №9'!C61</f>
        <v>0111</v>
      </c>
      <c r="C56" s="47" t="str">
        <f>'Таблица №9'!D61</f>
        <v>99</v>
      </c>
      <c r="D56" s="47" t="str">
        <f>'Таблица №9'!E61</f>
        <v>0</v>
      </c>
      <c r="E56" s="47"/>
      <c r="F56" s="46">
        <f>'Таблица №9'!G61</f>
        <v>0</v>
      </c>
      <c r="G56" s="46">
        <f>'Таблица №9'!H61</f>
        <v>320</v>
      </c>
      <c r="H56" s="46">
        <f>'Таблица №9'!I61</f>
        <v>0</v>
      </c>
      <c r="I56" s="46">
        <f>'Таблица №9'!J61</f>
        <v>320</v>
      </c>
      <c r="J56" s="46">
        <f>'Таблица №9'!K61</f>
        <v>320</v>
      </c>
    </row>
    <row r="57" spans="1:10" ht="18.75" customHeight="1" outlineLevel="2">
      <c r="A57" s="51" t="str">
        <f>'Таблица №9'!A62</f>
        <v>Иные бюджетные ассигнования</v>
      </c>
      <c r="B57" s="47" t="str">
        <f>'Таблица №9'!C62</f>
        <v>0111</v>
      </c>
      <c r="C57" s="47" t="str">
        <f>'Таблица №9'!D62</f>
        <v>99</v>
      </c>
      <c r="D57" s="47" t="str">
        <f>'Таблица №9'!E62</f>
        <v>0</v>
      </c>
      <c r="E57" s="47">
        <f>'Таблица №9'!F62</f>
        <v>800</v>
      </c>
      <c r="F57" s="46">
        <f>'Таблица №9'!G62</f>
        <v>0</v>
      </c>
      <c r="G57" s="46">
        <f>'Таблица №9'!H62</f>
        <v>320</v>
      </c>
      <c r="H57" s="46">
        <f>'Таблица №9'!I62</f>
        <v>0</v>
      </c>
      <c r="I57" s="46">
        <f>'Таблица №9'!J62</f>
        <v>320</v>
      </c>
      <c r="J57" s="46">
        <f>'Таблица №9'!K62</f>
        <v>320</v>
      </c>
    </row>
    <row r="58" spans="1:10" ht="18" customHeight="1" outlineLevel="2">
      <c r="A58" s="51" t="str">
        <f>'Таблица №9'!A63</f>
        <v>Другие общегосударственные вопросы</v>
      </c>
      <c r="B58" s="47" t="str">
        <f>'Таблица №9'!C63</f>
        <v>0113</v>
      </c>
      <c r="C58" s="47">
        <f>'Таблица №9'!D63</f>
        <v>0</v>
      </c>
      <c r="D58" s="47">
        <f>'Таблица №9'!E63</f>
        <v>0</v>
      </c>
      <c r="E58" s="47"/>
      <c r="F58" s="46">
        <f>'Таблица №9'!G63</f>
        <v>-5712.89</v>
      </c>
      <c r="G58" s="46">
        <f>'Таблица №9'!H63</f>
        <v>26016.41</v>
      </c>
      <c r="H58" s="46">
        <f>'Таблица №9'!I63</f>
        <v>-3484.49</v>
      </c>
      <c r="I58" s="46">
        <f>'Таблица №9'!J63</f>
        <v>26016.41</v>
      </c>
      <c r="J58" s="46">
        <f>'Таблица №9'!K63</f>
        <v>25286.41</v>
      </c>
    </row>
    <row r="59" spans="1:10" ht="48" customHeight="1" outlineLevel="2">
      <c r="A59" s="51" t="str">
        <f>'Таблица №9'!A64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59" s="47" t="str">
        <f>'Таблица №9'!C64</f>
        <v>0113</v>
      </c>
      <c r="C59" s="47" t="str">
        <f>'Таблица №9'!D64</f>
        <v>02</v>
      </c>
      <c r="D59" s="47">
        <f>'Таблица №9'!E64</f>
        <v>0</v>
      </c>
      <c r="E59" s="47"/>
      <c r="F59" s="46">
        <f>'Таблица №9'!G64</f>
        <v>0</v>
      </c>
      <c r="G59" s="46">
        <f>'Таблица №9'!H64</f>
        <v>300</v>
      </c>
      <c r="H59" s="46">
        <f>'Таблица №9'!I64</f>
        <v>0</v>
      </c>
      <c r="I59" s="46">
        <f>'Таблица №9'!J64</f>
        <v>300</v>
      </c>
      <c r="J59" s="46">
        <f>'Таблица №9'!K64</f>
        <v>0</v>
      </c>
    </row>
    <row r="60" spans="1:10" ht="34.5" customHeight="1" outlineLevel="2">
      <c r="A60" s="51" t="str">
        <f>'Таблица №9'!A65</f>
        <v>Подпрограмма "Энергосбережение и повышение энергетической эффективности Алексеевского муниципального района"</v>
      </c>
      <c r="B60" s="47" t="str">
        <f>'Таблица №9'!C65</f>
        <v>0113</v>
      </c>
      <c r="C60" s="47" t="str">
        <f>'Таблица №9'!D65</f>
        <v>02</v>
      </c>
      <c r="D60" s="47">
        <f>'Таблица №9'!E65</f>
        <v>4</v>
      </c>
      <c r="E60" s="47"/>
      <c r="F60" s="46">
        <f>'Таблица №9'!G65</f>
        <v>0</v>
      </c>
      <c r="G60" s="46">
        <f>'Таблица №9'!H65</f>
        <v>300</v>
      </c>
      <c r="H60" s="46">
        <f>'Таблица №9'!I65</f>
        <v>0</v>
      </c>
      <c r="I60" s="46">
        <f>'Таблица №9'!J65</f>
        <v>300</v>
      </c>
      <c r="J60" s="46">
        <f>'Таблица №9'!K65</f>
        <v>0</v>
      </c>
    </row>
    <row r="61" spans="1:10" ht="33" customHeight="1" outlineLevel="2">
      <c r="A61" s="51" t="str">
        <f>'Таблица №9'!A66</f>
        <v>Предоставление субсидий бюджетным, автономным учреждениям и иным некоммерческим организациям</v>
      </c>
      <c r="B61" s="47" t="str">
        <f>'Таблица №9'!C66</f>
        <v>0113</v>
      </c>
      <c r="C61" s="47" t="str">
        <f>'Таблица №9'!D66</f>
        <v>02</v>
      </c>
      <c r="D61" s="47">
        <f>'Таблица №9'!E66</f>
        <v>4</v>
      </c>
      <c r="E61" s="47">
        <f>'Таблица №9'!F66</f>
        <v>600</v>
      </c>
      <c r="F61" s="46">
        <f>'Таблица №9'!G66</f>
        <v>0</v>
      </c>
      <c r="G61" s="46">
        <f>'Таблица №9'!H66</f>
        <v>300</v>
      </c>
      <c r="H61" s="46">
        <f>'Таблица №9'!I66</f>
        <v>0</v>
      </c>
      <c r="I61" s="46">
        <f>'Таблица №9'!J66</f>
        <v>300</v>
      </c>
      <c r="J61" s="46">
        <f>'Таблица №9'!K66</f>
        <v>0</v>
      </c>
    </row>
    <row r="62" spans="1:10" ht="40.5" customHeight="1" outlineLevel="2">
      <c r="A62" s="51" t="str">
        <f>'Таблица №9'!A67</f>
        <v>Муниципальная программа "Развитие территориального общественного самоуправления Алексеевского муниципального района на 2016-2018 годы"</v>
      </c>
      <c r="B62" s="47" t="str">
        <f>'Таблица №9'!C67</f>
        <v>0113</v>
      </c>
      <c r="C62" s="47" t="str">
        <f>'Таблица №9'!D67</f>
        <v>03</v>
      </c>
      <c r="D62" s="47">
        <f>'Таблица №9'!E67</f>
        <v>0</v>
      </c>
      <c r="E62" s="47"/>
      <c r="F62" s="46">
        <f>'Таблица №9'!G67</f>
        <v>80</v>
      </c>
      <c r="G62" s="46">
        <f>'Таблица №9'!H67</f>
        <v>100</v>
      </c>
      <c r="H62" s="46">
        <f>'Таблица №9'!I67</f>
        <v>80</v>
      </c>
      <c r="I62" s="46">
        <f>'Таблица №9'!J67</f>
        <v>100</v>
      </c>
      <c r="J62" s="46">
        <f>'Таблица №9'!K67</f>
        <v>0</v>
      </c>
    </row>
    <row r="63" spans="1:10" ht="25.5" customHeight="1" outlineLevel="2">
      <c r="A63" s="51" t="str">
        <f>'Таблица №9'!A68</f>
        <v>Закупка товаров, работ и услуг для государственных (муниципальных) нужд</v>
      </c>
      <c r="B63" s="47" t="str">
        <f>'Таблица №9'!C68</f>
        <v>0113</v>
      </c>
      <c r="C63" s="47" t="str">
        <f>'Таблица №9'!D68</f>
        <v>03</v>
      </c>
      <c r="D63" s="47">
        <f>'Таблица №9'!E68</f>
        <v>0</v>
      </c>
      <c r="E63" s="47">
        <f>'Таблица №9'!F68</f>
        <v>200</v>
      </c>
      <c r="F63" s="46">
        <f>'Таблица №9'!G68</f>
        <v>0</v>
      </c>
      <c r="G63" s="46">
        <f>'Таблица №9'!H68</f>
        <v>0</v>
      </c>
      <c r="H63" s="46">
        <f>'Таблица №9'!I68</f>
        <v>0</v>
      </c>
      <c r="I63" s="46">
        <f>'Таблица №9'!J68</f>
        <v>0</v>
      </c>
      <c r="J63" s="46">
        <f>'Таблица №9'!K68</f>
        <v>0</v>
      </c>
    </row>
    <row r="64" spans="1:10" ht="25.5" customHeight="1" outlineLevel="2">
      <c r="A64" s="51" t="str">
        <f>'Таблица №9'!A69</f>
        <v>Предоставление субсидий бюджетным, автономным учреждениям и иным некоммерческим организациям</v>
      </c>
      <c r="B64" s="47" t="str">
        <f>'Таблица №9'!C69</f>
        <v>0113</v>
      </c>
      <c r="C64" s="47" t="str">
        <f>'Таблица №9'!D69</f>
        <v>03</v>
      </c>
      <c r="D64" s="47">
        <f>'Таблица №9'!E69</f>
        <v>0</v>
      </c>
      <c r="E64" s="47">
        <f>'Таблица №9'!F69</f>
        <v>600</v>
      </c>
      <c r="F64" s="46">
        <f>'Таблица №9'!G69</f>
        <v>80</v>
      </c>
      <c r="G64" s="46">
        <f>'Таблица №9'!H69</f>
        <v>100</v>
      </c>
      <c r="H64" s="46">
        <f>'Таблица №9'!I69</f>
        <v>80</v>
      </c>
      <c r="I64" s="46">
        <f>'Таблица №9'!J69</f>
        <v>100</v>
      </c>
      <c r="J64" s="46">
        <f>'Таблица №9'!K69</f>
        <v>0</v>
      </c>
    </row>
    <row r="65" spans="1:10" ht="38.25" outlineLevel="2">
      <c r="A65" s="51" t="str">
        <f>'Таблица №9'!A70</f>
        <v>Предоставление субсидий бюджетным, автономным учреждениям и иным некоммерческим организациям за счет дотации областного бюджета</v>
      </c>
      <c r="B65" s="47" t="str">
        <f>'Таблица №9'!C70</f>
        <v>0113</v>
      </c>
      <c r="C65" s="47" t="str">
        <f>'Таблица №9'!D70</f>
        <v>03</v>
      </c>
      <c r="D65" s="47">
        <f>'Таблица №9'!E70</f>
        <v>0</v>
      </c>
      <c r="E65" s="47">
        <f>'Таблица №9'!F70</f>
        <v>600</v>
      </c>
      <c r="F65" s="46">
        <f>'Таблица №9'!G70</f>
        <v>0</v>
      </c>
      <c r="G65" s="46">
        <f>'Таблица №9'!H70</f>
        <v>0</v>
      </c>
      <c r="H65" s="46">
        <f>'Таблица №9'!I70</f>
        <v>0</v>
      </c>
      <c r="I65" s="46">
        <f>'Таблица №9'!J70</f>
        <v>0</v>
      </c>
      <c r="J65" s="46">
        <f>'Таблица №9'!K70</f>
        <v>0</v>
      </c>
    </row>
    <row r="66" spans="1:10" ht="25.5" outlineLevel="2">
      <c r="A66" s="51" t="str">
        <f>'Таблица №9'!A71</f>
        <v>Муниципальная программа "Маршрут Победы на 2016-2018 годы"</v>
      </c>
      <c r="B66" s="47" t="str">
        <f>'Таблица №9'!C71</f>
        <v>0113</v>
      </c>
      <c r="C66" s="47" t="str">
        <f>'Таблица №9'!D71</f>
        <v>15</v>
      </c>
      <c r="D66" s="47">
        <f>'Таблица №9'!E71</f>
        <v>0</v>
      </c>
      <c r="E66" s="47"/>
      <c r="F66" s="46">
        <f>'Таблица №9'!G71</f>
        <v>25</v>
      </c>
      <c r="G66" s="46">
        <f>'Таблица №9'!H71</f>
        <v>75</v>
      </c>
      <c r="H66" s="46">
        <f>'Таблица №9'!I71</f>
        <v>25</v>
      </c>
      <c r="I66" s="46">
        <f>'Таблица №9'!J71</f>
        <v>75</v>
      </c>
      <c r="J66" s="46">
        <f>'Таблица №9'!K71</f>
        <v>0</v>
      </c>
    </row>
    <row r="67" spans="1:10" ht="25.5" outlineLevel="2">
      <c r="A67" s="51" t="str">
        <f>'Таблица №9'!A72</f>
        <v>Закупка товаров, работ и услуг для государственных (муниципальных) нужд</v>
      </c>
      <c r="B67" s="47" t="str">
        <f>'Таблица №9'!C72</f>
        <v>0113</v>
      </c>
      <c r="C67" s="47" t="str">
        <f>'Таблица №9'!D72</f>
        <v>15</v>
      </c>
      <c r="D67" s="47">
        <f>'Таблица №9'!E72</f>
        <v>0</v>
      </c>
      <c r="E67" s="47">
        <f>'Таблица №9'!F72</f>
        <v>200</v>
      </c>
      <c r="F67" s="46">
        <f>'Таблица №9'!G72</f>
        <v>25</v>
      </c>
      <c r="G67" s="46">
        <f>'Таблица №9'!H72</f>
        <v>75</v>
      </c>
      <c r="H67" s="46">
        <f>'Таблица №9'!I72</f>
        <v>25</v>
      </c>
      <c r="I67" s="46">
        <f>'Таблица №9'!J72</f>
        <v>75</v>
      </c>
      <c r="J67" s="46">
        <f>'Таблица №9'!K72</f>
        <v>0</v>
      </c>
    </row>
    <row r="68" spans="1:10" ht="51" outlineLevel="2">
      <c r="A68" s="51" t="str">
        <f>'Таблица №9'!A73</f>
        <v>Муниципальная программа "Профилактика  правонарушений и безопасности дорожного движения на территории Алексеевского муниципального района на 2016-2018 годы"</v>
      </c>
      <c r="B68" s="47" t="str">
        <f>'Таблица №9'!C73</f>
        <v>0113</v>
      </c>
      <c r="C68" s="47" t="str">
        <f>'Таблица №9'!D73</f>
        <v>20</v>
      </c>
      <c r="D68" s="47">
        <f>'Таблица №9'!E73</f>
        <v>0</v>
      </c>
      <c r="E68" s="47"/>
      <c r="F68" s="46">
        <f>'Таблица №9'!G73</f>
        <v>0</v>
      </c>
      <c r="G68" s="46">
        <f>'Таблица №9'!H73</f>
        <v>100</v>
      </c>
      <c r="H68" s="46">
        <f>'Таблица №9'!I73</f>
        <v>0</v>
      </c>
      <c r="I68" s="46">
        <f>'Таблица №9'!J73</f>
        <v>100</v>
      </c>
      <c r="J68" s="46">
        <f>'Таблица №9'!K73</f>
        <v>0</v>
      </c>
    </row>
    <row r="69" spans="1:10" ht="25.5" outlineLevel="2">
      <c r="A69" s="51" t="str">
        <f>'Таблица №9'!A74</f>
        <v>Закупка товаров, работ и услуг для государственных (муниципальных) нужд</v>
      </c>
      <c r="B69" s="47" t="str">
        <f>'Таблица №9'!C74</f>
        <v>0113</v>
      </c>
      <c r="C69" s="47" t="str">
        <f>'Таблица №9'!D74</f>
        <v>20</v>
      </c>
      <c r="D69" s="47">
        <f>'Таблица №9'!E74</f>
        <v>0</v>
      </c>
      <c r="E69" s="47">
        <f>'Таблица №9'!F74</f>
        <v>200</v>
      </c>
      <c r="F69" s="46">
        <f>'Таблица №9'!G74</f>
        <v>0</v>
      </c>
      <c r="G69" s="46">
        <f>'Таблица №9'!H74</f>
        <v>100</v>
      </c>
      <c r="H69" s="46">
        <f>'Таблица №9'!I74</f>
        <v>0</v>
      </c>
      <c r="I69" s="46">
        <f>'Таблица №9'!J74</f>
        <v>100</v>
      </c>
      <c r="J69" s="46">
        <f>'Таблица №9'!K74</f>
        <v>0</v>
      </c>
    </row>
    <row r="70" spans="1:10" ht="51" outlineLevel="2">
      <c r="A70" s="51" t="str">
        <f>'Таблица №9'!A75</f>
        <v>Муниципальная программа «Профилактика терроризма и экстремизма на территории  Алексеевского муниципального района на 2016-2018 годы"</v>
      </c>
      <c r="B70" s="47" t="str">
        <f>'Таблица №9'!C75</f>
        <v>0113</v>
      </c>
      <c r="C70" s="47" t="str">
        <f>'Таблица №9'!D75</f>
        <v>23</v>
      </c>
      <c r="D70" s="47">
        <f>'Таблица №9'!E75</f>
        <v>0</v>
      </c>
      <c r="E70" s="47"/>
      <c r="F70" s="46">
        <f>'Таблица №9'!G75</f>
        <v>0</v>
      </c>
      <c r="G70" s="46">
        <f>'Таблица №9'!H75</f>
        <v>50</v>
      </c>
      <c r="H70" s="46">
        <f>'Таблица №9'!I75</f>
        <v>0</v>
      </c>
      <c r="I70" s="46">
        <f>'Таблица №9'!J75</f>
        <v>50</v>
      </c>
      <c r="J70" s="46">
        <f>'Таблица №9'!K75</f>
        <v>0</v>
      </c>
    </row>
    <row r="71" spans="1:10" ht="25.5" outlineLevel="2">
      <c r="A71" s="51" t="str">
        <f>'Таблица №9'!A76</f>
        <v>Закупка товаров, работ и услуг для государственных (муниципальных) нужд</v>
      </c>
      <c r="B71" s="47" t="str">
        <f>'Таблица №9'!C76</f>
        <v>0113</v>
      </c>
      <c r="C71" s="47" t="str">
        <f>'Таблица №9'!D76</f>
        <v>23</v>
      </c>
      <c r="D71" s="47">
        <f>'Таблица №9'!E76</f>
        <v>0</v>
      </c>
      <c r="E71" s="47">
        <f>'Таблица №9'!F76</f>
        <v>200</v>
      </c>
      <c r="F71" s="46">
        <f>'Таблица №9'!G76</f>
        <v>0</v>
      </c>
      <c r="G71" s="46">
        <f>'Таблица №9'!H76</f>
        <v>50</v>
      </c>
      <c r="H71" s="46">
        <f>'Таблица №9'!I76</f>
        <v>0</v>
      </c>
      <c r="I71" s="46">
        <f>'Таблица №9'!J76</f>
        <v>50</v>
      </c>
      <c r="J71" s="46">
        <f>'Таблица №9'!K76</f>
        <v>0</v>
      </c>
    </row>
    <row r="72" spans="1:10" ht="84" customHeight="1" outlineLevel="2">
      <c r="A72" s="51" t="str">
        <f>'Таблица №9'!A77</f>
        <v>Ведомственная целевая программа "Повышение эффективности предоставления государственных и муниципальных услуг на базе автономного учреждения «Алексеевский многофункциональный центр предоставления государственных и муниципальных услуг» на территории Алексеевского муниципального района Волгоградской области на 2016-2018 годы"</v>
      </c>
      <c r="B72" s="47" t="str">
        <f>'Таблица №9'!C77</f>
        <v>0113</v>
      </c>
      <c r="C72" s="47" t="str">
        <f>'Таблица №9'!D77</f>
        <v>50</v>
      </c>
      <c r="D72" s="47">
        <f>'Таблица №9'!E77</f>
        <v>0</v>
      </c>
      <c r="E72" s="47"/>
      <c r="F72" s="46">
        <f>'Таблица №9'!G77</f>
        <v>0</v>
      </c>
      <c r="G72" s="46">
        <f>'Таблица №9'!H77</f>
        <v>3800</v>
      </c>
      <c r="H72" s="46">
        <f>'Таблица №9'!I77</f>
        <v>1300</v>
      </c>
      <c r="I72" s="46">
        <f>'Таблица №9'!J77</f>
        <v>3800</v>
      </c>
      <c r="J72" s="46">
        <f>'Таблица №9'!K77</f>
        <v>0</v>
      </c>
    </row>
    <row r="73" spans="1:10" ht="25.5" outlineLevel="2">
      <c r="A73" s="51" t="str">
        <f>'Таблица №9'!A78</f>
        <v>Предоставление субсидий бюджетным, автономным учреждениям и иным некоммерческим организациям</v>
      </c>
      <c r="B73" s="47" t="str">
        <f>'Таблица №9'!C78</f>
        <v>0113</v>
      </c>
      <c r="C73" s="47" t="str">
        <f>'Таблица №9'!D78</f>
        <v>50</v>
      </c>
      <c r="D73" s="47">
        <f>'Таблица №9'!E78</f>
        <v>0</v>
      </c>
      <c r="E73" s="47">
        <f>'Таблица №9'!F78</f>
        <v>600</v>
      </c>
      <c r="F73" s="46">
        <f>'Таблица №9'!G78</f>
        <v>0</v>
      </c>
      <c r="G73" s="46">
        <f>'Таблица №9'!H78</f>
        <v>3800</v>
      </c>
      <c r="H73" s="46">
        <f>'Таблица №9'!I78</f>
        <v>1300</v>
      </c>
      <c r="I73" s="46">
        <f>'Таблица №9'!J78</f>
        <v>3800</v>
      </c>
      <c r="J73" s="46">
        <f>'Таблица №9'!K78</f>
        <v>0</v>
      </c>
    </row>
    <row r="74" spans="1:10" ht="76.5" outlineLevel="2">
      <c r="A74" s="51" t="str">
        <f>'Таблица №9'!A79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2016-2018 годы"</v>
      </c>
      <c r="B74" s="47" t="str">
        <f>'Таблица №9'!C79</f>
        <v>0113</v>
      </c>
      <c r="C74" s="47" t="str">
        <f>'Таблица №9'!D79</f>
        <v>51</v>
      </c>
      <c r="D74" s="47">
        <f>'Таблица №9'!E79</f>
        <v>0</v>
      </c>
      <c r="E74" s="47"/>
      <c r="F74" s="46">
        <f>'Таблица №9'!G79</f>
        <v>0</v>
      </c>
      <c r="G74" s="46">
        <f>'Таблица №9'!H79</f>
        <v>19000</v>
      </c>
      <c r="H74" s="46">
        <f>'Таблица №9'!I79</f>
        <v>6500</v>
      </c>
      <c r="I74" s="46">
        <f>'Таблица №9'!J79</f>
        <v>19000</v>
      </c>
      <c r="J74" s="46">
        <f>'Таблица №9'!K79</f>
        <v>22675</v>
      </c>
    </row>
    <row r="75" spans="1:10" ht="25.5" outlineLevel="2">
      <c r="A75" s="51" t="str">
        <f>'Таблица №9'!A80</f>
        <v>Предоставление субсидий бюджетным, автономным учреждениям и иным некоммерческим организациям</v>
      </c>
      <c r="B75" s="47" t="str">
        <f>'Таблица №9'!C80</f>
        <v>0113</v>
      </c>
      <c r="C75" s="47" t="str">
        <f>'Таблица №9'!D80</f>
        <v>51</v>
      </c>
      <c r="D75" s="47">
        <f>'Таблица №9'!E80</f>
        <v>0</v>
      </c>
      <c r="E75" s="47">
        <f>'Таблица №9'!F80</f>
        <v>600</v>
      </c>
      <c r="F75" s="46">
        <f>'Таблица №9'!G80</f>
        <v>0</v>
      </c>
      <c r="G75" s="46">
        <f>'Таблица №9'!H80</f>
        <v>19000</v>
      </c>
      <c r="H75" s="46">
        <f>'Таблица №9'!I80</f>
        <v>6500</v>
      </c>
      <c r="I75" s="46">
        <f>'Таблица №9'!J80</f>
        <v>19000</v>
      </c>
      <c r="J75" s="46">
        <f>'Таблица №9'!K80</f>
        <v>22675</v>
      </c>
    </row>
    <row r="76" spans="1:10" ht="25.5" outlineLevel="2">
      <c r="A76" s="51" t="str">
        <f>'Таблица №9'!A81</f>
        <v>Государственная  регистрация актов гражданского состояния</v>
      </c>
      <c r="B76" s="47" t="str">
        <f>'Таблица №9'!C81</f>
        <v>0113</v>
      </c>
      <c r="C76" s="47">
        <f>'Таблица №9'!D81</f>
        <v>0</v>
      </c>
      <c r="D76" s="47">
        <f>'Таблица №9'!E81</f>
        <v>0</v>
      </c>
      <c r="E76" s="47"/>
      <c r="F76" s="46">
        <f>'Таблица №9'!G81</f>
        <v>1061.4</v>
      </c>
      <c r="G76" s="46">
        <f>'Таблица №9'!H81</f>
        <v>1061.4</v>
      </c>
      <c r="H76" s="46">
        <f>'Таблица №9'!I81</f>
        <v>1061.4</v>
      </c>
      <c r="I76" s="46">
        <f>'Таблица №9'!J81</f>
        <v>1061.4</v>
      </c>
      <c r="J76" s="46">
        <f>'Таблица №9'!K81</f>
        <v>1061.4</v>
      </c>
    </row>
    <row r="77" spans="1:10" ht="38.25" outlineLevel="2">
      <c r="A77" s="51" t="str">
        <f>'Таблица №9'!A82</f>
        <v>Непрограммные направления обеспечения деятельности органов местного самоуправления Алексеевского муниципального района</v>
      </c>
      <c r="B77" s="47" t="str">
        <f>'Таблица №9'!C82</f>
        <v>0113</v>
      </c>
      <c r="C77" s="47" t="str">
        <f>'Таблица №9'!D82</f>
        <v>90</v>
      </c>
      <c r="D77" s="47">
        <f>'Таблица №9'!E82</f>
        <v>0</v>
      </c>
      <c r="E77" s="47"/>
      <c r="F77" s="46">
        <f>'Таблица №9'!G82</f>
        <v>1061.4</v>
      </c>
      <c r="G77" s="46">
        <f>'Таблица №9'!H82</f>
        <v>1061.4</v>
      </c>
      <c r="H77" s="46">
        <f>'Таблица №9'!I82</f>
        <v>1061.4</v>
      </c>
      <c r="I77" s="46">
        <f>'Таблица №9'!J82</f>
        <v>1061.4</v>
      </c>
      <c r="J77" s="46">
        <f>'Таблица №9'!K82</f>
        <v>1061.4</v>
      </c>
    </row>
    <row r="78" spans="1:10" ht="63.75" outlineLevel="2">
      <c r="A78" s="51" t="str">
        <f>'Таблица №9'!A83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8" s="47" t="str">
        <f>'Таблица №9'!C83</f>
        <v>0113</v>
      </c>
      <c r="C78" s="47" t="str">
        <f>'Таблица №9'!D83</f>
        <v>90</v>
      </c>
      <c r="D78" s="47" t="str">
        <f>'Таблица №9'!E83</f>
        <v>0</v>
      </c>
      <c r="E78" s="47">
        <f>'Таблица №9'!F83</f>
        <v>100</v>
      </c>
      <c r="F78" s="46">
        <f>'Таблица №9'!G83</f>
        <v>841.7</v>
      </c>
      <c r="G78" s="46">
        <f>'Таблица №9'!H83</f>
        <v>841.7</v>
      </c>
      <c r="H78" s="46">
        <f>'Таблица №9'!I83</f>
        <v>841.7</v>
      </c>
      <c r="I78" s="46">
        <f>'Таблица №9'!J83</f>
        <v>841.7</v>
      </c>
      <c r="J78" s="46">
        <f>'Таблица №9'!K83</f>
        <v>841.7</v>
      </c>
    </row>
    <row r="79" spans="1:10" ht="25.5" outlineLevel="2">
      <c r="A79" s="51" t="str">
        <f>'Таблица №9'!A84</f>
        <v>Закупка товаров, работ и услуг для государственных (муниципальных) нужд</v>
      </c>
      <c r="B79" s="47" t="str">
        <f>'Таблица №9'!C84</f>
        <v>0113</v>
      </c>
      <c r="C79" s="47" t="str">
        <f>'Таблица №9'!D84</f>
        <v>90</v>
      </c>
      <c r="D79" s="47" t="str">
        <f>'Таблица №9'!E84</f>
        <v>0</v>
      </c>
      <c r="E79" s="47">
        <f>'Таблица №9'!F84</f>
        <v>200</v>
      </c>
      <c r="F79" s="46">
        <f>'Таблица №9'!G84</f>
        <v>219.7</v>
      </c>
      <c r="G79" s="46">
        <f>'Таблица №9'!H84</f>
        <v>219.7</v>
      </c>
      <c r="H79" s="46">
        <f>'Таблица №9'!I84</f>
        <v>219.7</v>
      </c>
      <c r="I79" s="46">
        <f>'Таблица №9'!J84</f>
        <v>219.7</v>
      </c>
      <c r="J79" s="46">
        <f>'Таблица №9'!K84</f>
        <v>219.7</v>
      </c>
    </row>
    <row r="80" spans="1:10" ht="32.25" customHeight="1" outlineLevel="2">
      <c r="A80" s="51" t="str">
        <f>'Таблица №9'!A85</f>
        <v>Оценка недвижимости, признание прав и регулирование отношений  по муниципальной собственности</v>
      </c>
      <c r="B80" s="47" t="str">
        <f>'Таблица №9'!C85</f>
        <v>0113</v>
      </c>
      <c r="C80" s="47" t="str">
        <f>'Таблица №9'!D85</f>
        <v>99</v>
      </c>
      <c r="D80" s="47">
        <f>'Таблица №9'!E85</f>
        <v>0</v>
      </c>
      <c r="E80" s="47"/>
      <c r="F80" s="46">
        <f>'Таблица №9'!G85</f>
        <v>0</v>
      </c>
      <c r="G80" s="46">
        <f>'Таблица №9'!H85</f>
        <v>100</v>
      </c>
      <c r="H80" s="46">
        <f>'Таблица №9'!I85</f>
        <v>0</v>
      </c>
      <c r="I80" s="46">
        <f>'Таблица №9'!J85</f>
        <v>100</v>
      </c>
      <c r="J80" s="46">
        <f>'Таблица №9'!K85</f>
        <v>100</v>
      </c>
    </row>
    <row r="81" spans="1:10" ht="31.5" customHeight="1" outlineLevel="2">
      <c r="A81" s="51" t="str">
        <f>'Таблица №9'!A86</f>
        <v>Непрограммные расходы органов местного самоуправления Алексеевского муниципального района</v>
      </c>
      <c r="B81" s="47" t="str">
        <f>'Таблица №9'!C86</f>
        <v>0113</v>
      </c>
      <c r="C81" s="47" t="str">
        <f>'Таблица №9'!D86</f>
        <v>99</v>
      </c>
      <c r="D81" s="47" t="str">
        <f>'Таблица №9'!E86</f>
        <v>0</v>
      </c>
      <c r="E81" s="47"/>
      <c r="F81" s="46">
        <f>'Таблица №9'!G86</f>
        <v>0</v>
      </c>
      <c r="G81" s="46">
        <f>'Таблица №9'!H86</f>
        <v>100</v>
      </c>
      <c r="H81" s="46">
        <f>'Таблица №9'!I86</f>
        <v>0</v>
      </c>
      <c r="I81" s="46">
        <f>'Таблица №9'!J86</f>
        <v>100</v>
      </c>
      <c r="J81" s="46">
        <f>'Таблица №9'!K86</f>
        <v>100</v>
      </c>
    </row>
    <row r="82" spans="1:10" ht="28.5" customHeight="1" outlineLevel="2">
      <c r="A82" s="51" t="str">
        <f>'Таблица №9'!A87</f>
        <v>Закупка товаров, работ и услуг для государственных (муниципальных) нужд</v>
      </c>
      <c r="B82" s="47" t="str">
        <f>'Таблица №9'!C87</f>
        <v>0113</v>
      </c>
      <c r="C82" s="47" t="str">
        <f>'Таблица №9'!D87</f>
        <v>99</v>
      </c>
      <c r="D82" s="47" t="str">
        <f>'Таблица №9'!E87</f>
        <v>0</v>
      </c>
      <c r="E82" s="47">
        <f>'Таблица №9'!F87</f>
        <v>200</v>
      </c>
      <c r="F82" s="46">
        <f>'Таблица №9'!G87</f>
        <v>0</v>
      </c>
      <c r="G82" s="46">
        <f>'Таблица №9'!H87</f>
        <v>100</v>
      </c>
      <c r="H82" s="46">
        <f>'Таблица №9'!I87</f>
        <v>0</v>
      </c>
      <c r="I82" s="46">
        <f>'Таблица №9'!J87</f>
        <v>100</v>
      </c>
      <c r="J82" s="46">
        <f>'Таблица №9'!K87</f>
        <v>100</v>
      </c>
    </row>
    <row r="83" spans="1:10" ht="25.5" outlineLevel="5">
      <c r="A83" s="51" t="str">
        <f>'Таблица №9'!A88</f>
        <v>Реализация  государственных функций, связанных с общегосударственным управлением</v>
      </c>
      <c r="B83" s="47" t="str">
        <f>'Таблица №9'!C88</f>
        <v>0113</v>
      </c>
      <c r="C83" s="47" t="str">
        <f>'Таблица №9'!D88</f>
        <v>99</v>
      </c>
      <c r="D83" s="47">
        <f>'Таблица №9'!E88</f>
        <v>0</v>
      </c>
      <c r="E83" s="47"/>
      <c r="F83" s="46">
        <f>'Таблица №9'!G88</f>
        <v>-499.99</v>
      </c>
      <c r="G83" s="46">
        <f>'Таблица №9'!H88</f>
        <v>1430.01</v>
      </c>
      <c r="H83" s="46">
        <f>'Таблица №9'!I88</f>
        <v>-699.99</v>
      </c>
      <c r="I83" s="46">
        <f>'Таблица №9'!J88</f>
        <v>1430.01</v>
      </c>
      <c r="J83" s="46">
        <f>'Таблица №9'!K88</f>
        <v>1450.01</v>
      </c>
    </row>
    <row r="84" spans="1:10" ht="29.25" customHeight="1" outlineLevel="5">
      <c r="A84" s="51" t="str">
        <f>'Таблица №9'!A89</f>
        <v>Непрограммные расходы органов местного самоуправления Алексеевского муниципального района</v>
      </c>
      <c r="B84" s="47" t="str">
        <f>'Таблица №9'!C89</f>
        <v>0113</v>
      </c>
      <c r="C84" s="47" t="str">
        <f>'Таблица №9'!D89</f>
        <v>99</v>
      </c>
      <c r="D84" s="47" t="str">
        <f>'Таблица №9'!E89</f>
        <v>0</v>
      </c>
      <c r="E84" s="47"/>
      <c r="F84" s="46">
        <f>'Таблица №9'!G89</f>
        <v>-499.99</v>
      </c>
      <c r="G84" s="46">
        <f>'Таблица №9'!H89</f>
        <v>1430.01</v>
      </c>
      <c r="H84" s="46">
        <f>'Таблица №9'!I89</f>
        <v>-699.99</v>
      </c>
      <c r="I84" s="46">
        <f>'Таблица №9'!J89</f>
        <v>1430.01</v>
      </c>
      <c r="J84" s="46">
        <f>'Таблица №9'!K89</f>
        <v>1450.01</v>
      </c>
    </row>
    <row r="85" spans="1:10" ht="25.5" outlineLevel="5">
      <c r="A85" s="51" t="str">
        <f>'Таблица №9'!A90</f>
        <v>Закупка товаров, работ и услуг для государственных (муниципальных) нужд</v>
      </c>
      <c r="B85" s="47" t="str">
        <f>'Таблица №9'!C90</f>
        <v>0113</v>
      </c>
      <c r="C85" s="47" t="str">
        <f>'Таблица №9'!D90</f>
        <v>99</v>
      </c>
      <c r="D85" s="47">
        <f>'Таблица №9'!E90</f>
        <v>0</v>
      </c>
      <c r="E85" s="47">
        <f>'Таблица №9'!F90</f>
        <v>200</v>
      </c>
      <c r="F85" s="46">
        <f>'Таблица №9'!G90</f>
        <v>-499.99</v>
      </c>
      <c r="G85" s="46">
        <f>'Таблица №9'!H90</f>
        <v>1275.01</v>
      </c>
      <c r="H85" s="46">
        <f>'Таблица №9'!I90</f>
        <v>-699.99</v>
      </c>
      <c r="I85" s="46">
        <f>'Таблица №9'!J90</f>
        <v>1275.01</v>
      </c>
      <c r="J85" s="46">
        <f>'Таблица №9'!K90</f>
        <v>1295.01</v>
      </c>
    </row>
    <row r="86" spans="1:10" ht="12.75" outlineLevel="5">
      <c r="A86" s="51" t="str">
        <f>'Таблица №9'!A91</f>
        <v>Иные бюджетные ассигнования</v>
      </c>
      <c r="B86" s="47" t="str">
        <f>'Таблица №9'!C91</f>
        <v>0113</v>
      </c>
      <c r="C86" s="47" t="str">
        <f>'Таблица №9'!D91</f>
        <v>99</v>
      </c>
      <c r="D86" s="47">
        <f>'Таблица №9'!E91</f>
        <v>0</v>
      </c>
      <c r="E86" s="47">
        <f>'Таблица №9'!F91</f>
        <v>800</v>
      </c>
      <c r="F86" s="46">
        <f>'Таблица №9'!G91</f>
        <v>0</v>
      </c>
      <c r="G86" s="46">
        <f>'Таблица №9'!H91</f>
        <v>155</v>
      </c>
      <c r="H86" s="46">
        <f>'Таблица №9'!I91</f>
        <v>0</v>
      </c>
      <c r="I86" s="46">
        <f>'Таблица №9'!J91</f>
        <v>155</v>
      </c>
      <c r="J86" s="46">
        <f>'Таблица №9'!K91</f>
        <v>155</v>
      </c>
    </row>
    <row r="87" spans="1:10" ht="38.25" outlineLevel="5">
      <c r="A87" s="51" t="str">
        <f>'Таблица №9'!A92</f>
        <v>Осуществлением полномочий по подготовке и проведению Всероссийской сельскохозяйственной переписи в 2016 году</v>
      </c>
      <c r="B87" s="47" t="str">
        <f>'Таблица №9'!C92</f>
        <v>0113</v>
      </c>
      <c r="C87" s="47" t="str">
        <f>'Таблица №9'!D92</f>
        <v>99</v>
      </c>
      <c r="D87" s="47">
        <f>'Таблица №9'!E92</f>
        <v>0</v>
      </c>
      <c r="E87" s="47"/>
      <c r="F87" s="46">
        <f>'Таблица №9'!G92</f>
        <v>0</v>
      </c>
      <c r="G87" s="46">
        <f>'Таблица №9'!H92</f>
        <v>0</v>
      </c>
      <c r="H87" s="46">
        <f>'Таблица №9'!I92</f>
        <v>0</v>
      </c>
      <c r="I87" s="46">
        <f>'Таблица №9'!J92</f>
        <v>0</v>
      </c>
      <c r="J87" s="46">
        <f>'Таблица №9'!K92</f>
        <v>0</v>
      </c>
    </row>
    <row r="88" spans="1:10" ht="27" customHeight="1" outlineLevel="5">
      <c r="A88" s="51" t="str">
        <f>'Таблица №9'!A93</f>
        <v>Непрограммные расходы органов местного самоуправления Алексеевского муниципального района</v>
      </c>
      <c r="B88" s="47" t="str">
        <f>'Таблица №9'!C93</f>
        <v>0113</v>
      </c>
      <c r="C88" s="47" t="str">
        <f>'Таблица №9'!D93</f>
        <v>99</v>
      </c>
      <c r="D88" s="47" t="str">
        <f>'Таблица №9'!E93</f>
        <v>0</v>
      </c>
      <c r="E88" s="47"/>
      <c r="F88" s="46">
        <f>'Таблица №9'!G93</f>
        <v>0</v>
      </c>
      <c r="G88" s="46">
        <f>'Таблица №9'!H93</f>
        <v>0</v>
      </c>
      <c r="H88" s="46">
        <f>'Таблица №9'!I93</f>
        <v>0</v>
      </c>
      <c r="I88" s="46">
        <f>'Таблица №9'!J93</f>
        <v>0</v>
      </c>
      <c r="J88" s="46">
        <f>'Таблица №9'!K93</f>
        <v>0</v>
      </c>
    </row>
    <row r="89" spans="1:10" ht="25.5" outlineLevel="5">
      <c r="A89" s="51" t="str">
        <f>'Таблица №9'!A94</f>
        <v>Закупка товаров, работ и услуг для государственных (муниципальных) нужд</v>
      </c>
      <c r="B89" s="47" t="str">
        <f>'Таблица №9'!C94</f>
        <v>0113</v>
      </c>
      <c r="C89" s="47" t="str">
        <f>'Таблица №9'!D94</f>
        <v>99</v>
      </c>
      <c r="D89" s="47">
        <f>'Таблица №9'!E94</f>
        <v>0</v>
      </c>
      <c r="E89" s="47">
        <f>'Таблица №9'!F94</f>
        <v>200</v>
      </c>
      <c r="F89" s="46">
        <f>'Таблица №9'!G94</f>
        <v>0</v>
      </c>
      <c r="G89" s="46">
        <f>'Таблица №9'!H94</f>
        <v>0</v>
      </c>
      <c r="H89" s="46">
        <f>'Таблица №9'!I94</f>
        <v>0</v>
      </c>
      <c r="I89" s="46">
        <f>'Таблица №9'!J94</f>
        <v>0</v>
      </c>
      <c r="J89" s="46">
        <f>'Таблица №9'!K94</f>
        <v>0</v>
      </c>
    </row>
    <row r="90" spans="1:10" ht="12.75" outlineLevel="5">
      <c r="A90" s="51" t="str">
        <f>'Таблица №9'!A95</f>
        <v>Условно утвержденные расходы</v>
      </c>
      <c r="B90" s="47" t="str">
        <f>'Таблица №9'!C95</f>
        <v>0113</v>
      </c>
      <c r="C90" s="47" t="str">
        <f>'Таблица №9'!D95</f>
        <v>99</v>
      </c>
      <c r="D90" s="47">
        <f>'Таблица №9'!E95</f>
        <v>0</v>
      </c>
      <c r="E90" s="47" t="s">
        <v>35</v>
      </c>
      <c r="F90" s="46">
        <f>'Таблица №9'!G95</f>
        <v>-6379.3</v>
      </c>
      <c r="G90" s="46">
        <f>'Таблица №9'!H95</f>
        <v>0</v>
      </c>
      <c r="H90" s="46">
        <f>'Таблица №9'!I95</f>
        <v>-11750.9</v>
      </c>
      <c r="I90" s="46">
        <f>'Таблица №9'!J95</f>
        <v>0</v>
      </c>
      <c r="J90" s="46">
        <f>'Таблица №9'!K95</f>
        <v>0</v>
      </c>
    </row>
    <row r="91" spans="1:10" ht="12.75" outlineLevel="5">
      <c r="A91" s="51" t="str">
        <f>'Таблица №9'!A96</f>
        <v>Национальная оборона </v>
      </c>
      <c r="B91" s="47" t="str">
        <f>'Таблица №9'!C96</f>
        <v>0200</v>
      </c>
      <c r="C91" s="47"/>
      <c r="D91" s="47"/>
      <c r="E91" s="47"/>
      <c r="F91" s="46">
        <f>'Таблица №9'!G96</f>
        <v>0</v>
      </c>
      <c r="G91" s="46">
        <f>'Таблица №9'!H96</f>
        <v>20</v>
      </c>
      <c r="H91" s="46">
        <f>'Таблица №9'!I96</f>
        <v>0</v>
      </c>
      <c r="I91" s="46">
        <f>'Таблица №9'!J96</f>
        <v>20</v>
      </c>
      <c r="J91" s="46">
        <f>'Таблица №9'!K96</f>
        <v>20</v>
      </c>
    </row>
    <row r="92" spans="1:10" ht="12.75" outlineLevel="5">
      <c r="A92" s="51" t="str">
        <f>'Таблица №9'!A97</f>
        <v>Мобилизационная подготовка экономики</v>
      </c>
      <c r="B92" s="47" t="str">
        <f>'Таблица №9'!C97</f>
        <v>0204</v>
      </c>
      <c r="C92" s="47"/>
      <c r="D92" s="47"/>
      <c r="E92" s="47"/>
      <c r="F92" s="46">
        <f>'Таблица №9'!G97</f>
        <v>0</v>
      </c>
      <c r="G92" s="46">
        <f>'Таблица №9'!H97</f>
        <v>20</v>
      </c>
      <c r="H92" s="46">
        <f>'Таблица №9'!I97</f>
        <v>0</v>
      </c>
      <c r="I92" s="46">
        <f>'Таблица №9'!J97</f>
        <v>20</v>
      </c>
      <c r="J92" s="46">
        <f>'Таблица №9'!K97</f>
        <v>20</v>
      </c>
    </row>
    <row r="93" spans="1:10" ht="25.5" outlineLevel="2">
      <c r="A93" s="51" t="str">
        <f>'Таблица №9'!A98</f>
        <v>Мероприятия по обеспечению мобилизационной готовности экономики</v>
      </c>
      <c r="B93" s="47" t="str">
        <f>'Таблица №9'!C98</f>
        <v>0204</v>
      </c>
      <c r="C93" s="47"/>
      <c r="D93" s="47"/>
      <c r="E93" s="47"/>
      <c r="F93" s="46">
        <f>'Таблица №9'!G98</f>
        <v>0</v>
      </c>
      <c r="G93" s="46">
        <f>'Таблица №9'!H98</f>
        <v>20</v>
      </c>
      <c r="H93" s="46">
        <f>'Таблица №9'!I98</f>
        <v>0</v>
      </c>
      <c r="I93" s="46">
        <f>'Таблица №9'!J98</f>
        <v>20</v>
      </c>
      <c r="J93" s="46">
        <f>'Таблица №9'!K98</f>
        <v>20</v>
      </c>
    </row>
    <row r="94" spans="1:10" ht="24.75" customHeight="1" outlineLevel="5">
      <c r="A94" s="51" t="str">
        <f>'Таблица №9'!A99</f>
        <v>Непрограммные расходы органов местного самоуправления Алексеевского муниципального района</v>
      </c>
      <c r="B94" s="47" t="str">
        <f>'Таблица №9'!C99</f>
        <v>0204</v>
      </c>
      <c r="C94" s="47" t="str">
        <f>'Таблица №9'!D99</f>
        <v>99</v>
      </c>
      <c r="D94" s="47">
        <f>'Таблица №9'!E99</f>
        <v>0</v>
      </c>
      <c r="E94" s="47"/>
      <c r="F94" s="46">
        <f>'Таблица №9'!G99</f>
        <v>0</v>
      </c>
      <c r="G94" s="46">
        <f>'Таблица №9'!H99</f>
        <v>20</v>
      </c>
      <c r="H94" s="46">
        <f>'Таблица №9'!I99</f>
        <v>0</v>
      </c>
      <c r="I94" s="46">
        <f>'Таблица №9'!J99</f>
        <v>20</v>
      </c>
      <c r="J94" s="46">
        <f>'Таблица №9'!K99</f>
        <v>20</v>
      </c>
    </row>
    <row r="95" spans="1:10" ht="24.75" customHeight="1" outlineLevel="5">
      <c r="A95" s="51" t="str">
        <f>'Таблица №9'!A100</f>
        <v>Закупка товаров, работ и услуг для государственных (муниципальных) нужд</v>
      </c>
      <c r="B95" s="47" t="str">
        <f>'Таблица №9'!C100</f>
        <v>0204</v>
      </c>
      <c r="C95" s="47" t="str">
        <f>'Таблица №9'!D100</f>
        <v>99</v>
      </c>
      <c r="D95" s="47">
        <f>'Таблица №9'!E100</f>
        <v>0</v>
      </c>
      <c r="E95" s="47">
        <f>'Таблица №9'!F100</f>
        <v>200</v>
      </c>
      <c r="F95" s="46">
        <f>'Таблица №9'!G100</f>
        <v>0</v>
      </c>
      <c r="G95" s="46">
        <f>'Таблица №9'!H100</f>
        <v>20</v>
      </c>
      <c r="H95" s="46">
        <f>'Таблица №9'!I100</f>
        <v>0</v>
      </c>
      <c r="I95" s="46">
        <f>'Таблица №9'!J100</f>
        <v>20</v>
      </c>
      <c r="J95" s="46">
        <f>'Таблица №9'!K100</f>
        <v>20</v>
      </c>
    </row>
    <row r="96" spans="1:10" ht="25.5" outlineLevel="5">
      <c r="A96" s="51" t="str">
        <f>'Таблица №9'!A101</f>
        <v>Национальная безопасность и правоохранительная деятельность</v>
      </c>
      <c r="B96" s="47" t="str">
        <f>'Таблица №9'!C101</f>
        <v>0300</v>
      </c>
      <c r="C96" s="47"/>
      <c r="D96" s="47"/>
      <c r="E96" s="47"/>
      <c r="F96" s="46">
        <f>'Таблица №9'!G101</f>
        <v>0</v>
      </c>
      <c r="G96" s="46">
        <f>'Таблица №9'!H101</f>
        <v>70</v>
      </c>
      <c r="H96" s="46">
        <f>'Таблица №9'!I101</f>
        <v>0</v>
      </c>
      <c r="I96" s="46">
        <f>'Таблица №9'!J101</f>
        <v>70</v>
      </c>
      <c r="J96" s="46">
        <f>'Таблица №9'!K101</f>
        <v>70</v>
      </c>
    </row>
    <row r="97" spans="1:10" ht="38.25" outlineLevel="2">
      <c r="A97" s="51" t="str">
        <f>'Таблица №9'!A102</f>
        <v>Предупреждение и ликвидация последствий чрезвычайных ситуаций и стихийных бедствий природного и техногенного характера</v>
      </c>
      <c r="B97" s="47" t="str">
        <f>'Таблица №9'!C102</f>
        <v>0309</v>
      </c>
      <c r="C97" s="47"/>
      <c r="D97" s="47"/>
      <c r="E97" s="47"/>
      <c r="F97" s="46">
        <f>'Таблица №9'!G102</f>
        <v>0</v>
      </c>
      <c r="G97" s="46">
        <f>'Таблица №9'!H102</f>
        <v>50</v>
      </c>
      <c r="H97" s="46">
        <f>'Таблица №9'!I102</f>
        <v>0</v>
      </c>
      <c r="I97" s="46">
        <f>'Таблица №9'!J102</f>
        <v>50</v>
      </c>
      <c r="J97" s="46">
        <f>'Таблица №9'!K102</f>
        <v>50</v>
      </c>
    </row>
    <row r="98" spans="1:10" ht="28.5" customHeight="1" outlineLevel="5">
      <c r="A98" s="51" t="str">
        <f>'Таблица №9'!A103</f>
        <v>Непрограммные расходы органов местного самоуправления Алексеевского муниципального района</v>
      </c>
      <c r="B98" s="47" t="str">
        <f>'Таблица №9'!C103</f>
        <v>0309</v>
      </c>
      <c r="C98" s="47" t="str">
        <f>'Таблица №9'!D103</f>
        <v>99</v>
      </c>
      <c r="D98" s="47">
        <f>'Таблица №9'!E103</f>
        <v>0</v>
      </c>
      <c r="E98" s="47"/>
      <c r="F98" s="46">
        <f>'Таблица №9'!G103</f>
        <v>0</v>
      </c>
      <c r="G98" s="46">
        <f>'Таблица №9'!H103</f>
        <v>50</v>
      </c>
      <c r="H98" s="46">
        <f>'Таблица №9'!I103</f>
        <v>0</v>
      </c>
      <c r="I98" s="46">
        <f>'Таблица №9'!J103</f>
        <v>50</v>
      </c>
      <c r="J98" s="46">
        <f>'Таблица №9'!K103</f>
        <v>50</v>
      </c>
    </row>
    <row r="99" spans="1:10" ht="27" customHeight="1" outlineLevel="5">
      <c r="A99" s="51" t="str">
        <f>'Таблица №9'!A104</f>
        <v>Закупка товаров, работ и услуг для государственных (муниципальных) нужд</v>
      </c>
      <c r="B99" s="47" t="str">
        <f>'Таблица №9'!C104</f>
        <v>0309</v>
      </c>
      <c r="C99" s="47" t="str">
        <f>'Таблица №9'!D104</f>
        <v>99</v>
      </c>
      <c r="D99" s="47">
        <f>'Таблица №9'!E104</f>
        <v>0</v>
      </c>
      <c r="E99" s="47">
        <f>'Таблица №9'!F104</f>
        <v>200</v>
      </c>
      <c r="F99" s="46">
        <f>'Таблица №9'!G104</f>
        <v>0</v>
      </c>
      <c r="G99" s="46">
        <f>'Таблица №9'!H104</f>
        <v>50</v>
      </c>
      <c r="H99" s="46">
        <f>'Таблица №9'!I104</f>
        <v>0</v>
      </c>
      <c r="I99" s="46">
        <f>'Таблица №9'!J104</f>
        <v>50</v>
      </c>
      <c r="J99" s="46">
        <f>'Таблица №9'!K104</f>
        <v>50</v>
      </c>
    </row>
    <row r="100" spans="1:10" ht="25.5" outlineLevel="1">
      <c r="A100" s="51" t="str">
        <f>'Таблица №9'!A105</f>
        <v>Подготовка населения и организаций к действиям в чрезвычайных ситуациях в мирное и военное время</v>
      </c>
      <c r="B100" s="47" t="str">
        <f>'Таблица №9'!C105</f>
        <v>0309</v>
      </c>
      <c r="C100" s="47"/>
      <c r="D100" s="47"/>
      <c r="E100" s="47"/>
      <c r="F100" s="46">
        <f>'Таблица №9'!G105</f>
        <v>0</v>
      </c>
      <c r="G100" s="46">
        <f>'Таблица №9'!H105</f>
        <v>20</v>
      </c>
      <c r="H100" s="46">
        <f>'Таблица №9'!I105</f>
        <v>0</v>
      </c>
      <c r="I100" s="46">
        <f>'Таблица №9'!J105</f>
        <v>20</v>
      </c>
      <c r="J100" s="46">
        <f>'Таблица №9'!K105</f>
        <v>20</v>
      </c>
    </row>
    <row r="101" spans="1:10" ht="28.5" customHeight="1" outlineLevel="2">
      <c r="A101" s="51" t="str">
        <f>'Таблица №9'!A106</f>
        <v>Непрограммные расходы органов местного самоуправления Алексеевского муниципального района</v>
      </c>
      <c r="B101" s="47" t="str">
        <f>'Таблица №9'!C106</f>
        <v>0309</v>
      </c>
      <c r="C101" s="47" t="str">
        <f>'Таблица №9'!D106</f>
        <v>99</v>
      </c>
      <c r="D101" s="47">
        <f>'Таблица №9'!E106</f>
        <v>0</v>
      </c>
      <c r="E101" s="47"/>
      <c r="F101" s="46">
        <f>'Таблица №9'!G106</f>
        <v>0</v>
      </c>
      <c r="G101" s="46">
        <f>'Таблица №9'!H106</f>
        <v>20</v>
      </c>
      <c r="H101" s="46">
        <f>'Таблица №9'!I106</f>
        <v>0</v>
      </c>
      <c r="I101" s="46">
        <f>'Таблица №9'!J106</f>
        <v>20</v>
      </c>
      <c r="J101" s="46">
        <f>'Таблица №9'!K106</f>
        <v>20</v>
      </c>
    </row>
    <row r="102" spans="1:10" ht="27" customHeight="1" outlineLevel="3">
      <c r="A102" s="51" t="str">
        <f>'Таблица №9'!A107</f>
        <v>Закупка товаров, работ и услуг для государственных (муниципальных) нужд</v>
      </c>
      <c r="B102" s="47" t="str">
        <f>'Таблица №9'!C107</f>
        <v>0309</v>
      </c>
      <c r="C102" s="47" t="str">
        <f>'Таблица №9'!D107</f>
        <v>99</v>
      </c>
      <c r="D102" s="47">
        <f>'Таблица №9'!E107</f>
        <v>0</v>
      </c>
      <c r="E102" s="47">
        <f>'Таблица №9'!F107</f>
        <v>200</v>
      </c>
      <c r="F102" s="46">
        <f>'Таблица №9'!G107</f>
        <v>0</v>
      </c>
      <c r="G102" s="46">
        <f>'Таблица №9'!H107</f>
        <v>20</v>
      </c>
      <c r="H102" s="46">
        <f>'Таблица №9'!I107</f>
        <v>0</v>
      </c>
      <c r="I102" s="46">
        <f>'Таблица №9'!J107</f>
        <v>20</v>
      </c>
      <c r="J102" s="46">
        <f>'Таблица №9'!K107</f>
        <v>20</v>
      </c>
    </row>
    <row r="103" spans="1:10" ht="12.75" outlineLevel="3">
      <c r="A103" s="51" t="str">
        <f>'Таблица №9'!A108</f>
        <v>Национальная экономика</v>
      </c>
      <c r="B103" s="47" t="str">
        <f>'Таблица №9'!C108</f>
        <v>0400</v>
      </c>
      <c r="C103" s="47"/>
      <c r="D103" s="47"/>
      <c r="E103" s="47"/>
      <c r="F103" s="46">
        <f>'Таблица №9'!G108</f>
        <v>4416.200000000001</v>
      </c>
      <c r="G103" s="46">
        <f>'Таблица №9'!H108</f>
        <v>8238.900000000001</v>
      </c>
      <c r="H103" s="46">
        <f>'Таблица №9'!I108</f>
        <v>3483</v>
      </c>
      <c r="I103" s="46">
        <f>'Таблица №9'!J108</f>
        <v>7305.7</v>
      </c>
      <c r="J103" s="46">
        <f>'Таблица №9'!K108</f>
        <v>5750</v>
      </c>
    </row>
    <row r="104" spans="1:10" ht="12.75" outlineLevel="3">
      <c r="A104" s="51" t="str">
        <f>'Таблица №9'!A109</f>
        <v>Сельское хозяйство и рыболовство</v>
      </c>
      <c r="B104" s="47" t="str">
        <f>'Таблица №9'!C109</f>
        <v>0405</v>
      </c>
      <c r="C104" s="47"/>
      <c r="D104" s="47"/>
      <c r="E104" s="47"/>
      <c r="F104" s="46">
        <f>'Таблица №9'!G109</f>
        <v>-3.7</v>
      </c>
      <c r="G104" s="46">
        <f>'Таблица №9'!H109</f>
        <v>21.3</v>
      </c>
      <c r="H104" s="46">
        <f>'Таблица №9'!I109</f>
        <v>16</v>
      </c>
      <c r="I104" s="46">
        <f>'Таблица №9'!J109</f>
        <v>41</v>
      </c>
      <c r="J104" s="46">
        <f>'Таблица №9'!K109</f>
        <v>24.8</v>
      </c>
    </row>
    <row r="105" spans="1:10" ht="51" outlineLevel="3">
      <c r="A105" s="51" t="str">
        <f>'Таблица №9'!A110</f>
        <v>Субвенции по предупреждение и ликвидацию болезней животных, их лечению, защите населения от болезней, общих для человека и животных, в части  отлова, содержания и утилизации безнадзорных животных</v>
      </c>
      <c r="B105" s="47" t="str">
        <f>'Таблица №9'!C110</f>
        <v>0405</v>
      </c>
      <c r="C105" s="47"/>
      <c r="D105" s="47"/>
      <c r="E105" s="47"/>
      <c r="F105" s="46">
        <f>'Таблица №9'!G110</f>
        <v>-3.7</v>
      </c>
      <c r="G105" s="46">
        <f>'Таблица №9'!H110</f>
        <v>21.3</v>
      </c>
      <c r="H105" s="46">
        <f>'Таблица №9'!I110</f>
        <v>16</v>
      </c>
      <c r="I105" s="46">
        <f>'Таблица №9'!J110</f>
        <v>41</v>
      </c>
      <c r="J105" s="46">
        <f>'Таблица №9'!K110</f>
        <v>24.8</v>
      </c>
    </row>
    <row r="106" spans="1:10" ht="30.75" customHeight="1" outlineLevel="3">
      <c r="A106" s="51" t="str">
        <f>'Таблица №9'!A111</f>
        <v>Непрограммные расходы органов местного самоуправления Алексеевского муниципального района</v>
      </c>
      <c r="B106" s="47" t="str">
        <f>'Таблица №9'!C111</f>
        <v>0405</v>
      </c>
      <c r="C106" s="47" t="str">
        <f>'Таблица №9'!D111</f>
        <v>99</v>
      </c>
      <c r="D106" s="47">
        <f>'Таблица №9'!E111</f>
        <v>0</v>
      </c>
      <c r="E106" s="47"/>
      <c r="F106" s="46">
        <f>'Таблица №9'!G111</f>
        <v>-3.7</v>
      </c>
      <c r="G106" s="46">
        <f>'Таблица №9'!H111</f>
        <v>21.3</v>
      </c>
      <c r="H106" s="46">
        <f>'Таблица №9'!I111</f>
        <v>16</v>
      </c>
      <c r="I106" s="46">
        <f>'Таблица №9'!J111</f>
        <v>41</v>
      </c>
      <c r="J106" s="46">
        <f>'Таблица №9'!K111</f>
        <v>24.8</v>
      </c>
    </row>
    <row r="107" spans="1:10" ht="29.25" customHeight="1" outlineLevel="3">
      <c r="A107" s="51" t="str">
        <f>'Таблица №9'!A112</f>
        <v>Закупка товаров, работ и услуг для государственных (муниципальных) нужд</v>
      </c>
      <c r="B107" s="47" t="str">
        <f>'Таблица №9'!C112</f>
        <v>0405</v>
      </c>
      <c r="C107" s="47" t="str">
        <f>'Таблица №9'!D112</f>
        <v>99</v>
      </c>
      <c r="D107" s="47">
        <f>'Таблица №9'!E112</f>
        <v>0</v>
      </c>
      <c r="E107" s="47">
        <f>'Таблица №9'!F112</f>
        <v>200</v>
      </c>
      <c r="F107" s="46">
        <f>'Таблица №9'!G112</f>
        <v>-3.7</v>
      </c>
      <c r="G107" s="46">
        <f>'Таблица №9'!H112</f>
        <v>21.3</v>
      </c>
      <c r="H107" s="46">
        <f>'Таблица №9'!I112</f>
        <v>16</v>
      </c>
      <c r="I107" s="46">
        <f>'Таблица №9'!J112</f>
        <v>41</v>
      </c>
      <c r="J107" s="46">
        <f>'Таблица №9'!K112</f>
        <v>24.8</v>
      </c>
    </row>
    <row r="108" spans="1:10" ht="12.75" outlineLevel="3">
      <c r="A108" s="51" t="str">
        <f>'Таблица №9'!A113</f>
        <v>Дорожное хозяйство (дорожные фонды)</v>
      </c>
      <c r="B108" s="47" t="str">
        <f>'Таблица №9'!C113</f>
        <v>0409</v>
      </c>
      <c r="C108" s="47"/>
      <c r="D108" s="47"/>
      <c r="E108" s="47"/>
      <c r="F108" s="46">
        <f>'Таблица №9'!G113</f>
        <v>1564.9000000000005</v>
      </c>
      <c r="G108" s="46">
        <f>'Таблица №9'!H113</f>
        <v>4962.6</v>
      </c>
      <c r="H108" s="46">
        <f>'Таблица №9'!I113</f>
        <v>1495.5</v>
      </c>
      <c r="I108" s="46">
        <f>'Таблица №9'!J113</f>
        <v>4893.2</v>
      </c>
      <c r="J108" s="46">
        <f>'Таблица №9'!K113</f>
        <v>5007.2</v>
      </c>
    </row>
    <row r="109" spans="1:10" ht="51" outlineLevel="3">
      <c r="A109" s="51" t="str">
        <f>'Таблица №9'!A114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v>
      </c>
      <c r="B109" s="47" t="str">
        <f>'Таблица №9'!C114</f>
        <v>0409</v>
      </c>
      <c r="C109" s="47" t="str">
        <f>'Таблица №9'!D114</f>
        <v>18</v>
      </c>
      <c r="D109" s="47">
        <f>'Таблица №9'!E114</f>
        <v>0</v>
      </c>
      <c r="E109" s="47"/>
      <c r="F109" s="46">
        <f>'Таблица №9'!G114</f>
        <v>4962.6</v>
      </c>
      <c r="G109" s="46">
        <f>'Таблица №9'!H114</f>
        <v>4962.6</v>
      </c>
      <c r="H109" s="46">
        <f>'Таблица №9'!I114</f>
        <v>4893.2</v>
      </c>
      <c r="I109" s="46">
        <f>'Таблица №9'!J114</f>
        <v>4893.2</v>
      </c>
      <c r="J109" s="46">
        <f>'Таблица №9'!K114</f>
        <v>5007.2</v>
      </c>
    </row>
    <row r="110" spans="1:10" ht="27" customHeight="1" outlineLevel="1">
      <c r="A110" s="51" t="str">
        <f>'Таблица №9'!A115</f>
        <v>Закупка товаров, работ и услуг для государственных (муниципальных) нужд</v>
      </c>
      <c r="B110" s="47" t="str">
        <f>'Таблица №9'!C115</f>
        <v>0409</v>
      </c>
      <c r="C110" s="47" t="str">
        <f>'Таблица №9'!D115</f>
        <v>18</v>
      </c>
      <c r="D110" s="47">
        <f>'Таблица №9'!E115</f>
        <v>0</v>
      </c>
      <c r="E110" s="47">
        <f>'Таблица №9'!F115</f>
        <v>200</v>
      </c>
      <c r="F110" s="46">
        <f>'Таблица №9'!G115</f>
        <v>4962.6</v>
      </c>
      <c r="G110" s="46">
        <f>'Таблица №9'!H115</f>
        <v>4962.6</v>
      </c>
      <c r="H110" s="46">
        <f>'Таблица №9'!I115</f>
        <v>4893.2</v>
      </c>
      <c r="I110" s="46">
        <f>'Таблица №9'!J115</f>
        <v>4893.2</v>
      </c>
      <c r="J110" s="46">
        <f>'Таблица №9'!K115</f>
        <v>5007.2</v>
      </c>
    </row>
    <row r="111" spans="1:10" ht="21.75" customHeight="1" outlineLevel="1">
      <c r="A111" s="51" t="str">
        <f>'Таблица №9'!A116</f>
        <v>Межбюджетные трансферты</v>
      </c>
      <c r="B111" s="47" t="str">
        <f>'Таблица №9'!C116</f>
        <v>0409</v>
      </c>
      <c r="C111" s="47" t="str">
        <f>'Таблица №9'!D116</f>
        <v>18</v>
      </c>
      <c r="D111" s="47">
        <f>'Таблица №9'!E116</f>
        <v>0</v>
      </c>
      <c r="E111" s="47">
        <f>'Таблица №9'!F116</f>
        <v>500</v>
      </c>
      <c r="F111" s="46">
        <f>'Таблица №9'!G116</f>
        <v>0</v>
      </c>
      <c r="G111" s="46">
        <f>'Таблица №9'!H116</f>
        <v>0</v>
      </c>
      <c r="H111" s="46">
        <f>'Таблица №9'!I116</f>
        <v>0</v>
      </c>
      <c r="I111" s="46">
        <f>'Таблица №9'!J116</f>
        <v>0</v>
      </c>
      <c r="J111" s="46">
        <f>'Таблица №9'!K116</f>
        <v>0</v>
      </c>
    </row>
    <row r="112" spans="1:10" ht="27" customHeight="1" outlineLevel="1">
      <c r="A112" s="51" t="str">
        <f>'Таблица №9'!A117</f>
        <v>Непрограммные расходы органов местного самоуправления Алексеевского муниципального района</v>
      </c>
      <c r="B112" s="47" t="str">
        <f>'Таблица №9'!C117</f>
        <v>0409</v>
      </c>
      <c r="C112" s="47" t="str">
        <f>'Таблица №9'!D117</f>
        <v>99</v>
      </c>
      <c r="D112" s="47">
        <f>'Таблица №9'!E117</f>
        <v>0</v>
      </c>
      <c r="E112" s="47"/>
      <c r="F112" s="46">
        <f>'Таблица №9'!G117</f>
        <v>-3397.7</v>
      </c>
      <c r="G112" s="46">
        <f>'Таблица №9'!H117</f>
        <v>0</v>
      </c>
      <c r="H112" s="46">
        <f>'Таблица №9'!I117</f>
        <v>-3397.7</v>
      </c>
      <c r="I112" s="46">
        <f>'Таблица №9'!J117</f>
        <v>0</v>
      </c>
      <c r="J112" s="46">
        <f>'Таблица №9'!K117</f>
        <v>0</v>
      </c>
    </row>
    <row r="113" spans="1:10" ht="27" customHeight="1" outlineLevel="1">
      <c r="A113" s="51" t="str">
        <f>'Таблица №9'!A118</f>
        <v>Закупка товаров, работ и услуг для государственных (муниципальных) нужд</v>
      </c>
      <c r="B113" s="47" t="str">
        <f>'Таблица №9'!C118</f>
        <v>0409</v>
      </c>
      <c r="C113" s="47" t="str">
        <f>'Таблица №9'!D118</f>
        <v>99</v>
      </c>
      <c r="D113" s="47">
        <f>'Таблица №9'!E118</f>
        <v>0</v>
      </c>
      <c r="E113" s="47">
        <f>'Таблица №9'!F118</f>
        <v>200</v>
      </c>
      <c r="F113" s="46">
        <f>'Таблица №9'!G118</f>
        <v>-3397.7</v>
      </c>
      <c r="G113" s="46">
        <f>'Таблица №9'!H118</f>
        <v>0</v>
      </c>
      <c r="H113" s="46">
        <f>'Таблица №9'!I118</f>
        <v>-3397.7</v>
      </c>
      <c r="I113" s="46">
        <f>'Таблица №9'!J118</f>
        <v>0</v>
      </c>
      <c r="J113" s="46">
        <f>'Таблица №9'!K118</f>
        <v>0</v>
      </c>
    </row>
    <row r="114" spans="1:10" ht="12.75" outlineLevel="2">
      <c r="A114" s="51" t="str">
        <f>'Таблица №9'!A119</f>
        <v>Другие вопросы в области национальной экономики</v>
      </c>
      <c r="B114" s="47" t="str">
        <f>'Таблица №9'!C119</f>
        <v>0412</v>
      </c>
      <c r="C114" s="47"/>
      <c r="D114" s="47"/>
      <c r="E114" s="47"/>
      <c r="F114" s="46">
        <f>'Таблица №9'!G119</f>
        <v>2855</v>
      </c>
      <c r="G114" s="46">
        <f>'Таблица №9'!H119</f>
        <v>3255</v>
      </c>
      <c r="H114" s="46">
        <f>'Таблица №9'!I119</f>
        <v>1971.5</v>
      </c>
      <c r="I114" s="46">
        <f>'Таблица №9'!J119</f>
        <v>2371.5</v>
      </c>
      <c r="J114" s="46">
        <f>'Таблица №9'!K119</f>
        <v>718</v>
      </c>
    </row>
    <row r="115" spans="1:10" ht="38.25" outlineLevel="2">
      <c r="A115" s="51" t="str">
        <f>'Таблица №9'!A120</f>
        <v>Муниципальная программа "Развитие и поддержка малого предпринимательства Алексеевского муниципального района на 2016-2018 годы "</v>
      </c>
      <c r="B115" s="47" t="str">
        <f>'Таблица №9'!C120</f>
        <v>0412</v>
      </c>
      <c r="C115" s="47" t="str">
        <f>'Таблица №9'!D120</f>
        <v>04</v>
      </c>
      <c r="D115" s="47">
        <f>'Таблица №9'!E120</f>
        <v>0</v>
      </c>
      <c r="E115" s="47"/>
      <c r="F115" s="46">
        <f>'Таблица №9'!G120</f>
        <v>0</v>
      </c>
      <c r="G115" s="46">
        <f>'Таблица №9'!H120</f>
        <v>300</v>
      </c>
      <c r="H115" s="46">
        <f>'Таблица №9'!I120</f>
        <v>0</v>
      </c>
      <c r="I115" s="46">
        <f>'Таблица №9'!J120</f>
        <v>300</v>
      </c>
      <c r="J115" s="46">
        <f>'Таблица №9'!K120</f>
        <v>0</v>
      </c>
    </row>
    <row r="116" spans="1:10" ht="25.5" outlineLevel="2">
      <c r="A116" s="51" t="str">
        <f>'Таблица №9'!A121</f>
        <v>Закупка товаров, работ и услуг для государственных (муниципальных) нужд</v>
      </c>
      <c r="B116" s="47" t="str">
        <f>'Таблица №9'!C121</f>
        <v>0412</v>
      </c>
      <c r="C116" s="47" t="str">
        <f>'Таблица №9'!D121</f>
        <v>04</v>
      </c>
      <c r="D116" s="47">
        <f>'Таблица №9'!E121</f>
        <v>0</v>
      </c>
      <c r="E116" s="47">
        <f>'Таблица №9'!F121</f>
        <v>200</v>
      </c>
      <c r="F116" s="46">
        <f>'Таблица №9'!G121</f>
        <v>0</v>
      </c>
      <c r="G116" s="46">
        <f>'Таблица №9'!H121</f>
        <v>50</v>
      </c>
      <c r="H116" s="46">
        <f>'Таблица №9'!I121</f>
        <v>0</v>
      </c>
      <c r="I116" s="46">
        <f>'Таблица №9'!J121</f>
        <v>50</v>
      </c>
      <c r="J116" s="46">
        <f>'Таблица №9'!K121</f>
        <v>0</v>
      </c>
    </row>
    <row r="117" spans="1:10" ht="12.75" outlineLevel="2">
      <c r="A117" s="51" t="str">
        <f>'Таблица №9'!A122</f>
        <v>Социальное обеспечение и иные выплаты населению</v>
      </c>
      <c r="B117" s="47" t="str">
        <f>'Таблица №9'!C122</f>
        <v>0412</v>
      </c>
      <c r="C117" s="47" t="str">
        <f>'Таблица №9'!D122</f>
        <v>04</v>
      </c>
      <c r="D117" s="47">
        <f>'Таблица №9'!E122</f>
        <v>0</v>
      </c>
      <c r="E117" s="47">
        <f>'Таблица №9'!F122</f>
        <v>300</v>
      </c>
      <c r="F117" s="46">
        <f>'Таблица №9'!G122</f>
        <v>0</v>
      </c>
      <c r="G117" s="46">
        <f>'Таблица №9'!H122</f>
        <v>50</v>
      </c>
      <c r="H117" s="46">
        <f>'Таблица №9'!I122</f>
        <v>0</v>
      </c>
      <c r="I117" s="46">
        <f>'Таблица №9'!J122</f>
        <v>50</v>
      </c>
      <c r="J117" s="46">
        <f>'Таблица №9'!K122</f>
        <v>0</v>
      </c>
    </row>
    <row r="118" spans="1:10" ht="12.75" outlineLevel="2">
      <c r="A118" s="51" t="str">
        <f>'Таблица №9'!A123</f>
        <v>Иные бюджетные ассигнования</v>
      </c>
      <c r="B118" s="47" t="str">
        <f>'Таблица №9'!C123</f>
        <v>0412</v>
      </c>
      <c r="C118" s="47" t="str">
        <f>'Таблица №9'!D123</f>
        <v>04</v>
      </c>
      <c r="D118" s="47">
        <f>'Таблица №9'!E123</f>
        <v>0</v>
      </c>
      <c r="E118" s="47">
        <f>'Таблица №9'!F123</f>
        <v>800</v>
      </c>
      <c r="F118" s="46">
        <f>'Таблица №9'!G123</f>
        <v>0</v>
      </c>
      <c r="G118" s="46">
        <f>'Таблица №9'!H123</f>
        <v>200</v>
      </c>
      <c r="H118" s="46">
        <f>'Таблица №9'!I123</f>
        <v>0</v>
      </c>
      <c r="I118" s="46">
        <f>'Таблица №9'!J123</f>
        <v>200</v>
      </c>
      <c r="J118" s="46">
        <f>'Таблица №9'!K123</f>
        <v>0</v>
      </c>
    </row>
    <row r="119" spans="1:10" ht="19.5" customHeight="1" outlineLevel="3">
      <c r="A119" s="51" t="str">
        <f>'Таблица №9'!A124</f>
        <v>Мероприятия по землеустройству и землепользованию</v>
      </c>
      <c r="B119" s="47" t="str">
        <f>'Таблица №9'!C124</f>
        <v>0412</v>
      </c>
      <c r="C119" s="47"/>
      <c r="D119" s="47"/>
      <c r="E119" s="47"/>
      <c r="F119" s="46">
        <f>'Таблица №9'!G124</f>
        <v>225</v>
      </c>
      <c r="G119" s="46">
        <f>'Таблица №9'!H124</f>
        <v>325</v>
      </c>
      <c r="H119" s="46">
        <f>'Таблица №9'!I124</f>
        <v>225</v>
      </c>
      <c r="I119" s="46">
        <f>'Таблица №9'!J124</f>
        <v>325</v>
      </c>
      <c r="J119" s="46">
        <f>'Таблица №9'!K124</f>
        <v>325</v>
      </c>
    </row>
    <row r="120" spans="1:10" ht="30" customHeight="1">
      <c r="A120" s="51" t="str">
        <f>'Таблица №9'!A125</f>
        <v>Непрограммные расходы органов местного самоуправления Алексеевского муниципального района</v>
      </c>
      <c r="B120" s="47" t="str">
        <f>'Таблица №9'!C125</f>
        <v>0412</v>
      </c>
      <c r="C120" s="47" t="str">
        <f>'Таблица №9'!D125</f>
        <v>99</v>
      </c>
      <c r="D120" s="47">
        <f>'Таблица №9'!E125</f>
        <v>0</v>
      </c>
      <c r="E120" s="47"/>
      <c r="F120" s="46">
        <f>'Таблица №9'!G125</f>
        <v>225</v>
      </c>
      <c r="G120" s="46">
        <f>'Таблица №9'!H125</f>
        <v>325</v>
      </c>
      <c r="H120" s="46">
        <f>'Таблица №9'!I125</f>
        <v>225</v>
      </c>
      <c r="I120" s="46">
        <f>'Таблица №9'!J125</f>
        <v>325</v>
      </c>
      <c r="J120" s="46">
        <f>'Таблица №9'!K125</f>
        <v>325</v>
      </c>
    </row>
    <row r="121" spans="1:10" ht="25.5" customHeight="1" outlineLevel="1">
      <c r="A121" s="51" t="str">
        <f>'Таблица №9'!A126</f>
        <v>Закупка товаров, работ и услуг для государственных (муниципальных) нужд</v>
      </c>
      <c r="B121" s="47" t="str">
        <f>'Таблица №9'!C126</f>
        <v>0412</v>
      </c>
      <c r="C121" s="47" t="str">
        <f>'Таблица №9'!D126</f>
        <v>99</v>
      </c>
      <c r="D121" s="47">
        <f>'Таблица №9'!E126</f>
        <v>0</v>
      </c>
      <c r="E121" s="47">
        <f>'Таблица №9'!F126</f>
        <v>200</v>
      </c>
      <c r="F121" s="46">
        <f>'Таблица №9'!G126</f>
        <v>225</v>
      </c>
      <c r="G121" s="46">
        <f>'Таблица №9'!H126</f>
        <v>325</v>
      </c>
      <c r="H121" s="46">
        <f>'Таблица №9'!I126</f>
        <v>225</v>
      </c>
      <c r="I121" s="46">
        <f>'Таблица №9'!J126</f>
        <v>325</v>
      </c>
      <c r="J121" s="46">
        <f>'Таблица №9'!K126</f>
        <v>325</v>
      </c>
    </row>
    <row r="122" spans="1:10" ht="25.5" outlineLevel="2">
      <c r="A122" s="51" t="str">
        <f>'Таблица №9'!A127</f>
        <v>Мероприятия в области строительства, архитектуры и градостроения</v>
      </c>
      <c r="B122" s="47" t="str">
        <f>'Таблица №9'!C127</f>
        <v>0412</v>
      </c>
      <c r="C122" s="47"/>
      <c r="D122" s="47"/>
      <c r="E122" s="47"/>
      <c r="F122" s="46">
        <f>'Таблица №9'!G127</f>
        <v>2630</v>
      </c>
      <c r="G122" s="46">
        <f>'Таблица №9'!H127</f>
        <v>2630</v>
      </c>
      <c r="H122" s="46">
        <f>'Таблица №9'!I127</f>
        <v>1746.5</v>
      </c>
      <c r="I122" s="46">
        <f>'Таблица №9'!J127</f>
        <v>1746.5</v>
      </c>
      <c r="J122" s="46">
        <f>'Таблица №9'!K127</f>
        <v>393</v>
      </c>
    </row>
    <row r="123" spans="1:10" ht="32.25" customHeight="1" outlineLevel="2">
      <c r="A123" s="51" t="str">
        <f>'Таблица №9'!A128</f>
        <v>Непрограммные расходы органов местного самоуправления Алексеевского муниципального района</v>
      </c>
      <c r="B123" s="47" t="str">
        <f>'Таблица №9'!C128</f>
        <v>0412</v>
      </c>
      <c r="C123" s="47" t="str">
        <f>'Таблица №9'!D128</f>
        <v>99</v>
      </c>
      <c r="D123" s="47">
        <f>'Таблица №9'!E128</f>
        <v>0</v>
      </c>
      <c r="E123" s="47"/>
      <c r="F123" s="46">
        <f>'Таблица №9'!G128</f>
        <v>2630</v>
      </c>
      <c r="G123" s="46">
        <f>'Таблица №9'!H128</f>
        <v>2630</v>
      </c>
      <c r="H123" s="46">
        <f>'Таблица №9'!I128</f>
        <v>1746.5</v>
      </c>
      <c r="I123" s="46">
        <f>'Таблица №9'!J128</f>
        <v>1746.5</v>
      </c>
      <c r="J123" s="46">
        <f>'Таблица №9'!K128</f>
        <v>393</v>
      </c>
    </row>
    <row r="124" spans="1:10" ht="28.5" customHeight="1" outlineLevel="3">
      <c r="A124" s="51" t="str">
        <f>'Таблица №9'!A129</f>
        <v>Закупка товаров, работ и услуг для государственных (муниципальных) нужд</v>
      </c>
      <c r="B124" s="47" t="str">
        <f>'Таблица №9'!C129</f>
        <v>0412</v>
      </c>
      <c r="C124" s="47" t="str">
        <f>'Таблица №9'!D129</f>
        <v>99</v>
      </c>
      <c r="D124" s="47">
        <f>'Таблица №9'!E129</f>
        <v>0</v>
      </c>
      <c r="E124" s="47">
        <f>'Таблица №9'!F129</f>
        <v>200</v>
      </c>
      <c r="F124" s="46">
        <f>'Таблица №9'!G129</f>
        <v>2630</v>
      </c>
      <c r="G124" s="46">
        <f>'Таблица №9'!H129</f>
        <v>2630</v>
      </c>
      <c r="H124" s="46">
        <f>'Таблица №9'!I129</f>
        <v>1746.5</v>
      </c>
      <c r="I124" s="46">
        <f>'Таблица №9'!J129</f>
        <v>1746.5</v>
      </c>
      <c r="J124" s="46">
        <f>'Таблица №9'!K129</f>
        <v>393</v>
      </c>
    </row>
    <row r="125" spans="1:10" ht="12.75" outlineLevel="2">
      <c r="A125" s="51" t="str">
        <f>'Таблица №9'!A130</f>
        <v>Жилищно-коммунальное хозяйство</v>
      </c>
      <c r="B125" s="47" t="str">
        <f>'Таблица №9'!C130</f>
        <v>0500</v>
      </c>
      <c r="C125" s="47">
        <f>'Таблица №9'!D130</f>
        <v>0</v>
      </c>
      <c r="D125" s="47">
        <f>'Таблица №9'!E130</f>
        <v>0</v>
      </c>
      <c r="E125" s="47"/>
      <c r="F125" s="46">
        <f>'Таблица №9'!G130</f>
        <v>6121.099999999999</v>
      </c>
      <c r="G125" s="46">
        <f>'Таблица №9'!H130</f>
        <v>6669.9</v>
      </c>
      <c r="H125" s="46">
        <f>'Таблица №9'!I130</f>
        <v>-132.3</v>
      </c>
      <c r="I125" s="46">
        <f>'Таблица №9'!J130</f>
        <v>410</v>
      </c>
      <c r="J125" s="46">
        <f>'Таблица №9'!K130</f>
        <v>0</v>
      </c>
    </row>
    <row r="126" spans="1:10" ht="12.75" outlineLevel="2">
      <c r="A126" s="51" t="str">
        <f>'Таблица №9'!A131</f>
        <v>Жилищное хозяйство</v>
      </c>
      <c r="B126" s="47" t="str">
        <f>'Таблица №9'!C131</f>
        <v>0501</v>
      </c>
      <c r="C126" s="47">
        <f>'Таблица №9'!D131</f>
        <v>0</v>
      </c>
      <c r="D126" s="47">
        <f>'Таблица №9'!E131</f>
        <v>0</v>
      </c>
      <c r="E126" s="47"/>
      <c r="F126" s="46">
        <f>'Таблица №9'!G131</f>
        <v>0</v>
      </c>
      <c r="G126" s="46">
        <f>'Таблица №9'!H131</f>
        <v>0</v>
      </c>
      <c r="H126" s="46">
        <f>'Таблица №9'!I131</f>
        <v>0</v>
      </c>
      <c r="I126" s="46">
        <f>'Таблица №9'!J131</f>
        <v>0</v>
      </c>
      <c r="J126" s="46">
        <f>'Таблица №9'!K131</f>
        <v>0</v>
      </c>
    </row>
    <row r="127" spans="1:10" ht="51" outlineLevel="2">
      <c r="A127" s="51" t="str">
        <f>'Таблица №9'!A132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27" s="47" t="str">
        <f>'Таблица №9'!C132</f>
        <v>0501</v>
      </c>
      <c r="C127" s="47" t="str">
        <f>'Таблица №9'!D132</f>
        <v>02</v>
      </c>
      <c r="D127" s="47">
        <f>'Таблица №9'!E132</f>
        <v>0</v>
      </c>
      <c r="E127" s="47"/>
      <c r="F127" s="46">
        <f>'Таблица №9'!G132</f>
        <v>0</v>
      </c>
      <c r="G127" s="46">
        <f>'Таблица №9'!H132</f>
        <v>0</v>
      </c>
      <c r="H127" s="46">
        <f>'Таблица №9'!I132</f>
        <v>0</v>
      </c>
      <c r="I127" s="46">
        <f>'Таблица №9'!J132</f>
        <v>0</v>
      </c>
      <c r="J127" s="46">
        <f>'Таблица №9'!K132</f>
        <v>0</v>
      </c>
    </row>
    <row r="128" spans="1:10" ht="51" outlineLevel="2">
      <c r="A128" s="51" t="str">
        <f>'Таблица №9'!A133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8" s="47" t="str">
        <f>'Таблица №9'!C133</f>
        <v>0501</v>
      </c>
      <c r="C128" s="47" t="str">
        <f>'Таблица №9'!D133</f>
        <v>02</v>
      </c>
      <c r="D128" s="47">
        <f>'Таблица №9'!E133</f>
        <v>1</v>
      </c>
      <c r="E128" s="47"/>
      <c r="F128" s="46">
        <f>'Таблица №9'!G133</f>
        <v>0</v>
      </c>
      <c r="G128" s="46">
        <f>'Таблица №9'!H133</f>
        <v>0</v>
      </c>
      <c r="H128" s="46">
        <f>'Таблица №9'!I133</f>
        <v>0</v>
      </c>
      <c r="I128" s="46">
        <f>'Таблица №9'!J133</f>
        <v>0</v>
      </c>
      <c r="J128" s="46">
        <f>'Таблица №9'!K133</f>
        <v>0</v>
      </c>
    </row>
    <row r="129" spans="1:10" ht="12.75" outlineLevel="2">
      <c r="A129" s="51" t="str">
        <f>'Таблица №9'!A134</f>
        <v>Межбюджетные трансферты</v>
      </c>
      <c r="B129" s="47" t="str">
        <f>'Таблица №9'!C134</f>
        <v>0501</v>
      </c>
      <c r="C129" s="47" t="str">
        <f>'Таблица №9'!D134</f>
        <v>02</v>
      </c>
      <c r="D129" s="47">
        <f>'Таблица №9'!E134</f>
        <v>1</v>
      </c>
      <c r="E129" s="47">
        <f>'Таблица №9'!F134</f>
        <v>500</v>
      </c>
      <c r="F129" s="46">
        <f>'Таблица №9'!G134</f>
        <v>0</v>
      </c>
      <c r="G129" s="46">
        <f>'Таблица №9'!H134</f>
        <v>0</v>
      </c>
      <c r="H129" s="46">
        <f>'Таблица №9'!I134</f>
        <v>0</v>
      </c>
      <c r="I129" s="46">
        <f>'Таблица №9'!J134</f>
        <v>0</v>
      </c>
      <c r="J129" s="46">
        <f>'Таблица №9'!K134</f>
        <v>0</v>
      </c>
    </row>
    <row r="130" spans="1:10" ht="12.75" outlineLevel="3">
      <c r="A130" s="51" t="str">
        <f>'Таблица №9'!A135</f>
        <v>Коммунальное хозяйство</v>
      </c>
      <c r="B130" s="47" t="str">
        <f>'Таблица №9'!C135</f>
        <v>0502</v>
      </c>
      <c r="C130" s="47"/>
      <c r="D130" s="47"/>
      <c r="E130" s="47"/>
      <c r="F130" s="46">
        <f>'Таблица №9'!G135</f>
        <v>6121.099999999999</v>
      </c>
      <c r="G130" s="46">
        <f>'Таблица №9'!H135</f>
        <v>6669.9</v>
      </c>
      <c r="H130" s="46">
        <f>'Таблица №9'!I135</f>
        <v>-132.3</v>
      </c>
      <c r="I130" s="46">
        <f>'Таблица №9'!J135</f>
        <v>410</v>
      </c>
      <c r="J130" s="46">
        <f>'Таблица №9'!K135</f>
        <v>0</v>
      </c>
    </row>
    <row r="131" spans="1:10" ht="42" customHeight="1" outlineLevel="3">
      <c r="A131" s="51" t="str">
        <f>'Таблица №9'!A136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31" s="47" t="str">
        <f>'Таблица №9'!C136</f>
        <v>0502</v>
      </c>
      <c r="C131" s="47" t="str">
        <f>'Таблица №9'!D136</f>
        <v>02</v>
      </c>
      <c r="D131" s="47">
        <f>'Таблица №9'!E136</f>
        <v>0</v>
      </c>
      <c r="E131" s="47"/>
      <c r="F131" s="46">
        <f>'Таблица №9'!G136</f>
        <v>6259.9</v>
      </c>
      <c r="G131" s="46">
        <f>'Таблица №9'!H136</f>
        <v>6669.9</v>
      </c>
      <c r="H131" s="46">
        <f>'Таблица №9'!I136</f>
        <v>0</v>
      </c>
      <c r="I131" s="46">
        <f>'Таблица №9'!J136</f>
        <v>410</v>
      </c>
      <c r="J131" s="46">
        <f>'Таблица №9'!K136</f>
        <v>0</v>
      </c>
    </row>
    <row r="132" spans="1:10" ht="51" outlineLevel="3">
      <c r="A132" s="51" t="str">
        <f>'Таблица №9'!A137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2" s="47" t="str">
        <f>'Таблица №9'!C137</f>
        <v>0502</v>
      </c>
      <c r="C132" s="47" t="str">
        <f>'Таблица №9'!D137</f>
        <v>02</v>
      </c>
      <c r="D132" s="47">
        <f>'Таблица №9'!E137</f>
        <v>1</v>
      </c>
      <c r="E132" s="47"/>
      <c r="F132" s="46">
        <f>'Таблица №9'!G137</f>
        <v>5653</v>
      </c>
      <c r="G132" s="46">
        <f>'Таблица №9'!H137</f>
        <v>6063</v>
      </c>
      <c r="H132" s="46">
        <f>'Таблица №9'!I137</f>
        <v>0</v>
      </c>
      <c r="I132" s="46">
        <f>'Таблица №9'!J137</f>
        <v>410</v>
      </c>
      <c r="J132" s="46">
        <f>'Таблица №9'!K137</f>
        <v>0</v>
      </c>
    </row>
    <row r="133" spans="1:10" ht="25.5" outlineLevel="3">
      <c r="A133" s="51" t="str">
        <f>'Таблица №9'!A138</f>
        <v>Закупка товаров, работ и услуг для государственных (муниципальных) нужд</v>
      </c>
      <c r="B133" s="47" t="str">
        <f>'Таблица №9'!C138</f>
        <v>0502</v>
      </c>
      <c r="C133" s="47" t="str">
        <f>'Таблица №9'!D138</f>
        <v>02</v>
      </c>
      <c r="D133" s="47">
        <f>'Таблица №9'!E138</f>
        <v>1</v>
      </c>
      <c r="E133" s="47">
        <f>'Таблица №9'!F138</f>
        <v>200</v>
      </c>
      <c r="F133" s="46">
        <f>'Таблица №9'!G138</f>
        <v>0</v>
      </c>
      <c r="G133" s="46">
        <f>'Таблица №9'!H138</f>
        <v>410</v>
      </c>
      <c r="H133" s="46">
        <f>'Таблица №9'!I138</f>
        <v>0</v>
      </c>
      <c r="I133" s="46">
        <f>'Таблица №9'!J138</f>
        <v>410</v>
      </c>
      <c r="J133" s="46">
        <f>'Таблица №9'!K138</f>
        <v>0</v>
      </c>
    </row>
    <row r="134" spans="1:10" ht="12.75" outlineLevel="3">
      <c r="A134" s="51" t="str">
        <f>'Таблица №9'!A139</f>
        <v>Межбюджетные трансферты</v>
      </c>
      <c r="B134" s="47" t="str">
        <f>'Таблица №9'!C139</f>
        <v>0502</v>
      </c>
      <c r="C134" s="47" t="str">
        <f>'Таблица №9'!D139</f>
        <v>02</v>
      </c>
      <c r="D134" s="47">
        <f>'Таблица №9'!E139</f>
        <v>1</v>
      </c>
      <c r="E134" s="47">
        <f>'Таблица №9'!F139</f>
        <v>500</v>
      </c>
      <c r="F134" s="46">
        <f>'Таблица №9'!G139</f>
        <v>5653</v>
      </c>
      <c r="G134" s="46">
        <f>'Таблица №9'!H139</f>
        <v>5653</v>
      </c>
      <c r="H134" s="46">
        <f>'Таблица №9'!I139</f>
        <v>0</v>
      </c>
      <c r="I134" s="46">
        <f>'Таблица №9'!J139</f>
        <v>0</v>
      </c>
      <c r="J134" s="46">
        <f>'Таблица №9'!K139</f>
        <v>0</v>
      </c>
    </row>
    <row r="135" spans="1:10" ht="25.5" outlineLevel="3">
      <c r="A135" s="51" t="str">
        <f>'Таблица №9'!A140</f>
        <v>Подпрограмма «Газификация Алексеевского муниципального района»</v>
      </c>
      <c r="B135" s="47" t="str">
        <f>'Таблица №9'!C140</f>
        <v>0502</v>
      </c>
      <c r="C135" s="47" t="str">
        <f>'Таблица №9'!D140</f>
        <v>02</v>
      </c>
      <c r="D135" s="47">
        <f>'Таблица №9'!E140</f>
        <v>2</v>
      </c>
      <c r="E135" s="47"/>
      <c r="F135" s="46">
        <f>'Таблица №9'!G140</f>
        <v>0</v>
      </c>
      <c r="G135" s="46">
        <f>'Таблица №9'!H140</f>
        <v>0</v>
      </c>
      <c r="H135" s="46">
        <f>'Таблица №9'!I140</f>
        <v>0</v>
      </c>
      <c r="I135" s="46">
        <f>'Таблица №9'!J140</f>
        <v>0</v>
      </c>
      <c r="J135" s="46">
        <f>'Таблица №9'!K140</f>
        <v>0</v>
      </c>
    </row>
    <row r="136" spans="1:10" ht="31.5" customHeight="1" outlineLevel="3">
      <c r="A136" s="51" t="str">
        <f>'Таблица №9'!A141</f>
        <v>Мероприятия по развитию газификации в сельской местности за счет субсидий из областного бюджета</v>
      </c>
      <c r="B136" s="47" t="str">
        <f>'Таблица №9'!C141</f>
        <v>0502</v>
      </c>
      <c r="C136" s="47" t="str">
        <f>'Таблица №9'!D141</f>
        <v>02</v>
      </c>
      <c r="D136" s="47">
        <f>'Таблица №9'!E141</f>
        <v>2</v>
      </c>
      <c r="E136" s="47">
        <f>'Таблица №9'!F141</f>
        <v>400</v>
      </c>
      <c r="F136" s="46">
        <f>'Таблица №9'!G141</f>
        <v>0</v>
      </c>
      <c r="G136" s="46">
        <f>'Таблица №9'!H141</f>
        <v>0</v>
      </c>
      <c r="H136" s="46">
        <f>'Таблица №9'!I141</f>
        <v>0</v>
      </c>
      <c r="I136" s="46">
        <f>'Таблица №9'!J141</f>
        <v>0</v>
      </c>
      <c r="J136" s="46">
        <f>'Таблица №9'!K141</f>
        <v>0</v>
      </c>
    </row>
    <row r="137" spans="1:10" ht="31.5" customHeight="1" outlineLevel="3">
      <c r="A137" s="51" t="str">
        <f>'Таблица №9'!A143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37" s="47" t="str">
        <f>'Таблица №9'!C143</f>
        <v>0502</v>
      </c>
      <c r="C137" s="47" t="str">
        <f>'Таблица №9'!D143</f>
        <v>02</v>
      </c>
      <c r="D137" s="47">
        <f>'Таблица №9'!E143</f>
        <v>3</v>
      </c>
      <c r="E137" s="47"/>
      <c r="F137" s="46">
        <f>'Таблица №9'!G143</f>
        <v>606.9</v>
      </c>
      <c r="G137" s="46">
        <f>'Таблица №9'!H143</f>
        <v>606.9</v>
      </c>
      <c r="H137" s="46">
        <f>'Таблица №9'!I143</f>
        <v>0</v>
      </c>
      <c r="I137" s="46">
        <f>'Таблица №9'!J143</f>
        <v>0</v>
      </c>
      <c r="J137" s="46">
        <f>'Таблица №9'!K143</f>
        <v>0</v>
      </c>
    </row>
    <row r="138" spans="1:10" ht="31.5" customHeight="1" outlineLevel="3">
      <c r="A138" s="51" t="str">
        <f>'Таблица №9'!A144</f>
        <v>Закупка товаров, работ и услуг в целях ремонта объектов муниципальной собственности</v>
      </c>
      <c r="B138" s="47" t="str">
        <f>'Таблица №9'!C144</f>
        <v>0502</v>
      </c>
      <c r="C138" s="47" t="str">
        <f>'Таблица №9'!D144</f>
        <v>02</v>
      </c>
      <c r="D138" s="47">
        <f>'Таблица №9'!E144</f>
        <v>3</v>
      </c>
      <c r="E138" s="47">
        <f>'Таблица №9'!F144</f>
        <v>200</v>
      </c>
      <c r="F138" s="46">
        <f>'Таблица №9'!G144</f>
        <v>606.9</v>
      </c>
      <c r="G138" s="46">
        <f>'Таблица №9'!H144</f>
        <v>606.9</v>
      </c>
      <c r="H138" s="46">
        <f>'Таблица №9'!I144</f>
        <v>0</v>
      </c>
      <c r="I138" s="46">
        <f>'Таблица №9'!J144</f>
        <v>0</v>
      </c>
      <c r="J138" s="46">
        <f>'Таблица №9'!K144</f>
        <v>0</v>
      </c>
    </row>
    <row r="139" spans="1:10" ht="38.25" outlineLevel="3">
      <c r="A139" s="51" t="str">
        <f>'Таблица №9'!A145</f>
        <v>Муниципальная программа "Устойчивое развитие сельских территорий  Алексеевского муниципального района на  2014-2017 годы и на период до 2020 года"</v>
      </c>
      <c r="B139" s="47" t="str">
        <f>'Таблица №9'!C145</f>
        <v>0502</v>
      </c>
      <c r="C139" s="47" t="str">
        <f>'Таблица №9'!D145</f>
        <v>24</v>
      </c>
      <c r="D139" s="47">
        <f>'Таблица №9'!E145</f>
        <v>0</v>
      </c>
      <c r="E139" s="47"/>
      <c r="F139" s="46">
        <f>'Таблица №9'!G145</f>
        <v>-6.5</v>
      </c>
      <c r="G139" s="46">
        <f>'Таблица №9'!H145</f>
        <v>0</v>
      </c>
      <c r="H139" s="46">
        <f>'Таблица №9'!I145</f>
        <v>0</v>
      </c>
      <c r="I139" s="46">
        <f>'Таблица №9'!J145</f>
        <v>0</v>
      </c>
      <c r="J139" s="46">
        <f>'Таблица №9'!K145</f>
        <v>0</v>
      </c>
    </row>
    <row r="140" spans="1:10" ht="25.5" outlineLevel="3">
      <c r="A140" s="51" t="str">
        <f>'Таблица №9'!A146</f>
        <v>Капитальные вложения в объекты государственной (муниципальной) собственности</v>
      </c>
      <c r="B140" s="47" t="str">
        <f>'Таблица №9'!C146</f>
        <v>0502</v>
      </c>
      <c r="C140" s="47" t="str">
        <f>'Таблица №9'!D146</f>
        <v>24</v>
      </c>
      <c r="D140" s="47">
        <f>'Таблица №9'!E146</f>
        <v>0</v>
      </c>
      <c r="E140" s="47">
        <f>'Таблица №9'!F146</f>
        <v>400</v>
      </c>
      <c r="F140" s="46">
        <f>'Таблица №9'!G146</f>
        <v>-6.5</v>
      </c>
      <c r="G140" s="46">
        <f>'Таблица №9'!H146</f>
        <v>0</v>
      </c>
      <c r="H140" s="46">
        <f>'Таблица №9'!I146</f>
        <v>0</v>
      </c>
      <c r="I140" s="46">
        <f>'Таблица №9'!J146</f>
        <v>0</v>
      </c>
      <c r="J140" s="46">
        <f>'Таблица №9'!K146</f>
        <v>0</v>
      </c>
    </row>
    <row r="141" spans="1:10" ht="63.75" outlineLevel="1">
      <c r="A141" s="51" t="str">
        <f>'Таблица №9'!A147</f>
        <v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v>
      </c>
      <c r="B141" s="47" t="str">
        <f>'Таблица №9'!C147</f>
        <v>0502</v>
      </c>
      <c r="C141" s="47"/>
      <c r="D141" s="47"/>
      <c r="E141" s="47"/>
      <c r="F141" s="46">
        <f>'Таблица №9'!G147</f>
        <v>-132.3</v>
      </c>
      <c r="G141" s="46">
        <f>'Таблица №9'!H147</f>
        <v>0</v>
      </c>
      <c r="H141" s="46">
        <f>'Таблица №9'!I147</f>
        <v>-132.3</v>
      </c>
      <c r="I141" s="46">
        <f>'Таблица №9'!J147</f>
        <v>0</v>
      </c>
      <c r="J141" s="46">
        <f>'Таблица №9'!K147</f>
        <v>0</v>
      </c>
    </row>
    <row r="142" spans="1:10" ht="29.25" customHeight="1" outlineLevel="1">
      <c r="A142" s="51" t="str">
        <f>'Таблица №9'!A148</f>
        <v>Непрограммные расходы органов местного самоуправления Алексеевского муниципального района</v>
      </c>
      <c r="B142" s="47" t="str">
        <f>'Таблица №9'!C148</f>
        <v>0502</v>
      </c>
      <c r="C142" s="47" t="str">
        <f>'Таблица №9'!D148</f>
        <v>99</v>
      </c>
      <c r="D142" s="47">
        <f>'Таблица №9'!E148</f>
        <v>0</v>
      </c>
      <c r="E142" s="47"/>
      <c r="F142" s="46">
        <f>'Таблица №9'!G148</f>
        <v>-132.3</v>
      </c>
      <c r="G142" s="46">
        <f>'Таблица №9'!H148</f>
        <v>0</v>
      </c>
      <c r="H142" s="46">
        <f>'Таблица №9'!I148</f>
        <v>-132.3</v>
      </c>
      <c r="I142" s="46">
        <f>'Таблица №9'!J148</f>
        <v>0</v>
      </c>
      <c r="J142" s="46">
        <f>'Таблица №9'!K148</f>
        <v>0</v>
      </c>
    </row>
    <row r="143" spans="1:10" ht="18.75" customHeight="1" outlineLevel="1">
      <c r="A143" s="51" t="str">
        <f>'Таблица №9'!A149</f>
        <v>Иные бюджетные ассигнования</v>
      </c>
      <c r="B143" s="47" t="str">
        <f>'Таблица №9'!C149</f>
        <v>0502</v>
      </c>
      <c r="C143" s="47" t="str">
        <f>'Таблица №9'!D149</f>
        <v>99</v>
      </c>
      <c r="D143" s="47">
        <f>'Таблица №9'!E149</f>
        <v>0</v>
      </c>
      <c r="E143" s="47">
        <f>'Таблица №9'!F149</f>
        <v>800</v>
      </c>
      <c r="F143" s="46">
        <f>'Таблица №9'!G149</f>
        <v>-132.3</v>
      </c>
      <c r="G143" s="46">
        <f>'Таблица №9'!H149</f>
        <v>0</v>
      </c>
      <c r="H143" s="46">
        <f>'Таблица №9'!I149</f>
        <v>-132.3</v>
      </c>
      <c r="I143" s="46">
        <f>'Таблица №9'!J149</f>
        <v>0</v>
      </c>
      <c r="J143" s="46">
        <f>'Таблица №9'!K149</f>
        <v>0</v>
      </c>
    </row>
    <row r="144" spans="1:10" ht="12.75" outlineLevel="2">
      <c r="A144" s="51" t="str">
        <f>'Таблица №9'!A150</f>
        <v>Охрана окружающей среды</v>
      </c>
      <c r="B144" s="47" t="str">
        <f>'Таблица №9'!C150</f>
        <v>0600</v>
      </c>
      <c r="C144" s="47">
        <f>'Таблица №9'!D150</f>
        <v>0</v>
      </c>
      <c r="D144" s="47">
        <f>'Таблица №9'!E150</f>
        <v>0</v>
      </c>
      <c r="E144" s="47"/>
      <c r="F144" s="46">
        <f>'Таблица №9'!G150</f>
        <v>0</v>
      </c>
      <c r="G144" s="46">
        <f>'Таблица №9'!H150</f>
        <v>50</v>
      </c>
      <c r="H144" s="46">
        <f>'Таблица №9'!I150</f>
        <v>0</v>
      </c>
      <c r="I144" s="46">
        <f>'Таблица №9'!J150</f>
        <v>50</v>
      </c>
      <c r="J144" s="46">
        <f>'Таблица №9'!K150</f>
        <v>0</v>
      </c>
    </row>
    <row r="145" spans="1:10" ht="38.25" outlineLevel="5">
      <c r="A145" s="51" t="str">
        <f>'Таблица №9'!A151</f>
        <v>Муниципальная программа  «Охрана окружающей среды Алексеевского муниципального района на 2016-2018 годы»</v>
      </c>
      <c r="B145" s="47" t="str">
        <f>'Таблица №9'!C151</f>
        <v>0605</v>
      </c>
      <c r="C145" s="47" t="str">
        <f>'Таблица №9'!D151</f>
        <v>05</v>
      </c>
      <c r="D145" s="47">
        <f>'Таблица №9'!E151</f>
        <v>0</v>
      </c>
      <c r="E145" s="47"/>
      <c r="F145" s="46">
        <f>'Таблица №9'!G151</f>
        <v>0</v>
      </c>
      <c r="G145" s="46">
        <f>'Таблица №9'!H151</f>
        <v>50</v>
      </c>
      <c r="H145" s="46">
        <f>'Таблица №9'!I151</f>
        <v>0</v>
      </c>
      <c r="I145" s="46">
        <f>'Таблица №9'!J151</f>
        <v>50</v>
      </c>
      <c r="J145" s="46">
        <f>'Таблица №9'!K151</f>
        <v>0</v>
      </c>
    </row>
    <row r="146" spans="1:10" ht="25.5" outlineLevel="5">
      <c r="A146" s="51" t="str">
        <f>'Таблица №9'!A152</f>
        <v>Закупка товаров, работ и услуг для государственных (муниципальных) нужд</v>
      </c>
      <c r="B146" s="47" t="str">
        <f>'Таблица №9'!C152</f>
        <v>0605</v>
      </c>
      <c r="C146" s="47" t="str">
        <f>'Таблица №9'!D152</f>
        <v>05</v>
      </c>
      <c r="D146" s="47">
        <f>'Таблица №9'!E152</f>
        <v>0</v>
      </c>
      <c r="E146" s="47">
        <f>'Таблица №9'!F152</f>
        <v>200</v>
      </c>
      <c r="F146" s="46">
        <f>'Таблица №9'!G152</f>
        <v>0</v>
      </c>
      <c r="G146" s="46">
        <f>'Таблица №9'!H152</f>
        <v>50</v>
      </c>
      <c r="H146" s="46">
        <f>'Таблица №9'!I152</f>
        <v>0</v>
      </c>
      <c r="I146" s="46">
        <f>'Таблица №9'!J152</f>
        <v>50</v>
      </c>
      <c r="J146" s="46">
        <f>'Таблица №9'!K152</f>
        <v>0</v>
      </c>
    </row>
    <row r="147" spans="1:10" ht="12.75" outlineLevel="5">
      <c r="A147" s="51" t="str">
        <f>'Таблица №9'!A153</f>
        <v>Образование</v>
      </c>
      <c r="B147" s="47" t="str">
        <f>'Таблица №9'!C153</f>
        <v>0700</v>
      </c>
      <c r="C147" s="47"/>
      <c r="D147" s="47"/>
      <c r="E147" s="47"/>
      <c r="F147" s="46">
        <f>'Таблица №9'!G153</f>
        <v>-23819.709999999985</v>
      </c>
      <c r="G147" s="46">
        <f>'Таблица №9'!H153</f>
        <v>138721.59000000003</v>
      </c>
      <c r="H147" s="46">
        <f>'Таблица №9'!I153</f>
        <v>-579.0100000000143</v>
      </c>
      <c r="I147" s="46">
        <f>'Таблица №9'!J153</f>
        <v>148555.38999999998</v>
      </c>
      <c r="J147" s="46">
        <f>'Таблица №9'!K153</f>
        <v>153033.69</v>
      </c>
    </row>
    <row r="148" spans="1:10" ht="12.75" outlineLevel="2">
      <c r="A148" s="51" t="str">
        <f>'Таблица №9'!A154</f>
        <v>Дошкольное образование</v>
      </c>
      <c r="B148" s="47" t="str">
        <f>'Таблица №9'!C154</f>
        <v>0701</v>
      </c>
      <c r="C148" s="47"/>
      <c r="D148" s="47"/>
      <c r="E148" s="47"/>
      <c r="F148" s="46">
        <f>'Таблица №9'!G154</f>
        <v>-3621.2</v>
      </c>
      <c r="G148" s="46">
        <f>'Таблица №9'!H154</f>
        <v>23864.7</v>
      </c>
      <c r="H148" s="46">
        <f>'Таблица №9'!I154</f>
        <v>1320.8000000000002</v>
      </c>
      <c r="I148" s="46">
        <f>'Таблица №9'!J154</f>
        <v>24506.7</v>
      </c>
      <c r="J148" s="46">
        <f>'Таблица №9'!K154</f>
        <v>26388.3</v>
      </c>
    </row>
    <row r="149" spans="1:10" ht="43.5" customHeight="1" outlineLevel="2">
      <c r="A149" s="51" t="str">
        <f>'Таблица №9'!A155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49" s="47" t="str">
        <f>'Таблица №9'!C155</f>
        <v>0701</v>
      </c>
      <c r="C149" s="47" t="str">
        <f>'Таблица №9'!D155</f>
        <v>02</v>
      </c>
      <c r="D149" s="47">
        <f>'Таблица №9'!E155</f>
        <v>0</v>
      </c>
      <c r="E149" s="47"/>
      <c r="F149" s="46">
        <f>'Таблица №9'!G155</f>
        <v>0</v>
      </c>
      <c r="G149" s="46">
        <f>'Таблица №9'!H155</f>
        <v>440</v>
      </c>
      <c r="H149" s="46">
        <f>'Таблица №9'!I155</f>
        <v>0</v>
      </c>
      <c r="I149" s="46">
        <f>'Таблица №9'!J155</f>
        <v>440</v>
      </c>
      <c r="J149" s="46">
        <f>'Таблица №9'!K155</f>
        <v>0</v>
      </c>
    </row>
    <row r="150" spans="1:10" ht="38.25" customHeight="1" outlineLevel="2">
      <c r="A150" s="51" t="str">
        <f>'Таблица №9'!A156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0" s="47" t="str">
        <f>'Таблица №9'!C156</f>
        <v>0701</v>
      </c>
      <c r="C150" s="47" t="str">
        <f>'Таблица №9'!D156</f>
        <v>02</v>
      </c>
      <c r="D150" s="47">
        <f>'Таблица №9'!E156</f>
        <v>3</v>
      </c>
      <c r="E150" s="47"/>
      <c r="F150" s="46">
        <f>'Таблица №9'!G156</f>
        <v>0</v>
      </c>
      <c r="G150" s="46">
        <f>'Таблица №9'!H156</f>
        <v>0</v>
      </c>
      <c r="H150" s="46">
        <f>'Таблица №9'!I156</f>
        <v>0</v>
      </c>
      <c r="I150" s="46">
        <f>'Таблица №9'!J156</f>
        <v>0</v>
      </c>
      <c r="J150" s="46">
        <f>'Таблица №9'!K156</f>
        <v>0</v>
      </c>
    </row>
    <row r="151" spans="1:10" ht="25.5" outlineLevel="2">
      <c r="A151" s="51" t="str">
        <f>'Таблица №9'!A157</f>
        <v>Предоставление субсидий бюджетным, автономным учреждениям и иным некоммерческим организациям</v>
      </c>
      <c r="B151" s="47" t="str">
        <f>'Таблица №9'!C157</f>
        <v>0701</v>
      </c>
      <c r="C151" s="47" t="str">
        <f>'Таблица №9'!D157</f>
        <v>02</v>
      </c>
      <c r="D151" s="47">
        <f>'Таблица №9'!E157</f>
        <v>3</v>
      </c>
      <c r="E151" s="47">
        <f>'Таблица №9'!F157</f>
        <v>600</v>
      </c>
      <c r="F151" s="46">
        <f>'Таблица №9'!G157</f>
        <v>0</v>
      </c>
      <c r="G151" s="46">
        <f>'Таблица №9'!H157</f>
        <v>0</v>
      </c>
      <c r="H151" s="46">
        <f>'Таблица №9'!I157</f>
        <v>0</v>
      </c>
      <c r="I151" s="46">
        <f>'Таблица №9'!J157</f>
        <v>0</v>
      </c>
      <c r="J151" s="46">
        <f>'Таблица №9'!K157</f>
        <v>0</v>
      </c>
    </row>
    <row r="152" spans="1:10" ht="38.25" customHeight="1" outlineLevel="2">
      <c r="A152" s="51" t="str">
        <f>'Таблица №9'!A158</f>
        <v>Подпрограмма "Энергосбережение и повышение энергетической эффективности Алексеевского муниципального района"</v>
      </c>
      <c r="B152" s="47" t="str">
        <f>'Таблица №9'!C158</f>
        <v>0701</v>
      </c>
      <c r="C152" s="47" t="str">
        <f>'Таблица №9'!D158</f>
        <v>02</v>
      </c>
      <c r="D152" s="47">
        <f>'Таблица №9'!E158</f>
        <v>4</v>
      </c>
      <c r="E152" s="47"/>
      <c r="F152" s="46">
        <f>'Таблица №9'!G158</f>
        <v>0</v>
      </c>
      <c r="G152" s="46">
        <f>'Таблица №9'!H158</f>
        <v>440</v>
      </c>
      <c r="H152" s="46">
        <f>'Таблица №9'!I158</f>
        <v>0</v>
      </c>
      <c r="I152" s="46">
        <f>'Таблица №9'!J158</f>
        <v>440</v>
      </c>
      <c r="J152" s="46">
        <f>'Таблица №9'!K158</f>
        <v>0</v>
      </c>
    </row>
    <row r="153" spans="1:10" ht="25.5" outlineLevel="2">
      <c r="A153" s="51" t="str">
        <f>'Таблица №9'!A159</f>
        <v>Предоставление субсидий бюджетным, автономным учреждениям и иным некоммерческим организациям</v>
      </c>
      <c r="B153" s="47" t="str">
        <f>'Таблица №9'!C159</f>
        <v>0701</v>
      </c>
      <c r="C153" s="47" t="str">
        <f>'Таблица №9'!D159</f>
        <v>02</v>
      </c>
      <c r="D153" s="47">
        <f>'Таблица №9'!E159</f>
        <v>4</v>
      </c>
      <c r="E153" s="47">
        <f>'Таблица №9'!F159</f>
        <v>600</v>
      </c>
      <c r="F153" s="46">
        <f>'Таблица №9'!G159</f>
        <v>0</v>
      </c>
      <c r="G153" s="46">
        <f>'Таблица №9'!H159</f>
        <v>440</v>
      </c>
      <c r="H153" s="46">
        <f>'Таблица №9'!I159</f>
        <v>0</v>
      </c>
      <c r="I153" s="46">
        <f>'Таблица №9'!J159</f>
        <v>440</v>
      </c>
      <c r="J153" s="46">
        <f>'Таблица №9'!K159</f>
        <v>0</v>
      </c>
    </row>
    <row r="154" spans="1:10" ht="114.75" outlineLevel="2">
      <c r="A154" s="51" t="str">
        <f>'Таблица №9'!A160</f>
        <v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v>
      </c>
      <c r="B154" s="47" t="str">
        <f>'Таблица №9'!C160</f>
        <v>0701</v>
      </c>
      <c r="C154" s="47" t="str">
        <f>'Таблица №9'!D160</f>
        <v>22</v>
      </c>
      <c r="D154" s="47">
        <f>'Таблица №9'!E160</f>
        <v>0</v>
      </c>
      <c r="E154" s="47"/>
      <c r="F154" s="46">
        <f>'Таблица №9'!G160</f>
        <v>34.4</v>
      </c>
      <c r="G154" s="46">
        <f>'Таблица №9'!H160</f>
        <v>34.4</v>
      </c>
      <c r="H154" s="46">
        <f>'Таблица №9'!I160</f>
        <v>34.4</v>
      </c>
      <c r="I154" s="46">
        <f>'Таблица №9'!J160</f>
        <v>34.4</v>
      </c>
      <c r="J154" s="46">
        <f>'Таблица №9'!K160</f>
        <v>0</v>
      </c>
    </row>
    <row r="155" spans="1:10" ht="25.5" outlineLevel="2">
      <c r="A155" s="51" t="str">
        <f>'Таблица №9'!A161</f>
        <v>Предоставление субсидий бюджетным, автономным учреждениям и иным некоммерческим организациям</v>
      </c>
      <c r="B155" s="47" t="str">
        <f>'Таблица №9'!C161</f>
        <v>0701</v>
      </c>
      <c r="C155" s="47" t="str">
        <f>'Таблица №9'!D161</f>
        <v>22</v>
      </c>
      <c r="D155" s="47">
        <f>'Таблица №9'!E161</f>
        <v>0</v>
      </c>
      <c r="E155" s="47">
        <f>'Таблица №9'!F161</f>
        <v>600</v>
      </c>
      <c r="F155" s="46">
        <f>'Таблица №9'!G161</f>
        <v>34.4</v>
      </c>
      <c r="G155" s="46">
        <f>'Таблица №9'!H161</f>
        <v>34.4</v>
      </c>
      <c r="H155" s="46">
        <f>'Таблица №9'!I161</f>
        <v>34.4</v>
      </c>
      <c r="I155" s="46">
        <f>'Таблица №9'!J161</f>
        <v>34.4</v>
      </c>
      <c r="J155" s="46">
        <f>'Таблица №9'!K161</f>
        <v>0</v>
      </c>
    </row>
    <row r="156" spans="1:10" ht="51" outlineLevel="2">
      <c r="A156" s="51" t="str">
        <f>'Таблица №9'!A162</f>
        <v>Ведомственная целевая программа "Развитие дошкольного образования детей на  территории  Алексеевского муниципального района на 2016-2018 годы"</v>
      </c>
      <c r="B156" s="47" t="str">
        <f>'Таблица №9'!C162</f>
        <v>0701</v>
      </c>
      <c r="C156" s="47" t="str">
        <f>'Таблица №9'!D162</f>
        <v>52</v>
      </c>
      <c r="D156" s="47">
        <f>'Таблица №9'!E162</f>
        <v>0</v>
      </c>
      <c r="E156" s="47"/>
      <c r="F156" s="46">
        <f>'Таблица №9'!G162</f>
        <v>-3655.6</v>
      </c>
      <c r="G156" s="46">
        <f>'Таблица №9'!H162</f>
        <v>23390.3</v>
      </c>
      <c r="H156" s="46">
        <f>'Таблица №9'!I162</f>
        <v>1286.4</v>
      </c>
      <c r="I156" s="46">
        <f>'Таблица №9'!J162</f>
        <v>24032.3</v>
      </c>
      <c r="J156" s="46">
        <f>'Таблица №9'!K162</f>
        <v>26388.3</v>
      </c>
    </row>
    <row r="157" spans="1:10" ht="25.5" outlineLevel="2">
      <c r="A157" s="51" t="str">
        <f>'Таблица №9'!A163</f>
        <v>Предоставление субсидий бюджетным, автономным учреждениям и иным некоммерческим организациям</v>
      </c>
      <c r="B157" s="47" t="str">
        <f>'Таблица №9'!C163</f>
        <v>0701</v>
      </c>
      <c r="C157" s="47" t="str">
        <f>'Таблица №9'!D163</f>
        <v>52</v>
      </c>
      <c r="D157" s="47">
        <f>'Таблица №9'!E163</f>
        <v>0</v>
      </c>
      <c r="E157" s="47">
        <f>'Таблица №9'!F163</f>
        <v>600</v>
      </c>
      <c r="F157" s="46">
        <f>'Таблица №9'!G163</f>
        <v>0</v>
      </c>
      <c r="G157" s="46">
        <f>'Таблица №9'!H163</f>
        <v>12400</v>
      </c>
      <c r="H157" s="46">
        <f>'Таблица №9'!I163</f>
        <v>4300</v>
      </c>
      <c r="I157" s="46">
        <f>'Таблица №9'!J163</f>
        <v>12400</v>
      </c>
      <c r="J157" s="46">
        <f>'Таблица №9'!K163</f>
        <v>14756</v>
      </c>
    </row>
    <row r="158" spans="1:10" ht="38.25" outlineLevel="2">
      <c r="A158" s="51" t="str">
        <f>'Таблица №9'!A164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58" s="47" t="str">
        <f>'Таблица №9'!C164</f>
        <v>0701</v>
      </c>
      <c r="C158" s="47" t="str">
        <f>'Таблица №9'!D164</f>
        <v>52</v>
      </c>
      <c r="D158" s="47">
        <f>'Таблица №9'!E164</f>
        <v>0</v>
      </c>
      <c r="E158" s="47">
        <f>'Таблица №9'!F164</f>
        <v>600</v>
      </c>
      <c r="F158" s="46">
        <f>'Таблица №9'!G164</f>
        <v>-3655.6</v>
      </c>
      <c r="G158" s="46">
        <f>'Таблица №9'!H164</f>
        <v>10990.3</v>
      </c>
      <c r="H158" s="46">
        <f>'Таблица №9'!I164</f>
        <v>-3013.6</v>
      </c>
      <c r="I158" s="46">
        <f>'Таблица №9'!J164</f>
        <v>11632.3</v>
      </c>
      <c r="J158" s="46">
        <f>'Таблица №9'!K164</f>
        <v>11632.3</v>
      </c>
    </row>
    <row r="159" spans="1:10" ht="55.5" customHeight="1" outlineLevel="2">
      <c r="A159" s="51" t="str">
        <f>'Таблица №9'!A165</f>
        <v>Субсидии бюджетным учреждениям на финансовое обеспечение  погашения задолженности по денежным обязательствам, возникшим и неоплаченным на 01.01.2017 г.  за счет средств областного бюджета </v>
      </c>
      <c r="B159" s="47" t="str">
        <f>'Таблица №9'!C165</f>
        <v>0701</v>
      </c>
      <c r="C159" s="47" t="str">
        <f>'Таблица №9'!D165</f>
        <v>52</v>
      </c>
      <c r="D159" s="47">
        <f>'Таблица №9'!E165</f>
        <v>0</v>
      </c>
      <c r="E159" s="47">
        <f>'Таблица №9'!F165</f>
        <v>600</v>
      </c>
      <c r="F159" s="46">
        <f>'Таблица №9'!G165</f>
        <v>0</v>
      </c>
      <c r="G159" s="46">
        <f>'Таблица №9'!H165</f>
        <v>0</v>
      </c>
      <c r="H159" s="46">
        <f>'Таблица №9'!I165</f>
        <v>0</v>
      </c>
      <c r="I159" s="46">
        <f>'Таблица №9'!J165</f>
        <v>0</v>
      </c>
      <c r="J159" s="46">
        <f>'Таблица №9'!K165</f>
        <v>0</v>
      </c>
    </row>
    <row r="160" spans="1:10" ht="25.5" outlineLevel="2">
      <c r="A160" s="51" t="str">
        <f>'Таблица №9'!A166</f>
        <v>За счет средств на расходы на осуществление социальных гарантий молодым специалистам</v>
      </c>
      <c r="B160" s="47" t="str">
        <f>'Таблица №9'!C166</f>
        <v>0701</v>
      </c>
      <c r="C160" s="47" t="str">
        <f>'Таблица №9'!D166</f>
        <v>52</v>
      </c>
      <c r="D160" s="47">
        <f>'Таблица №9'!E166</f>
        <v>0</v>
      </c>
      <c r="E160" s="47">
        <f>'Таблица №9'!F166</f>
        <v>600</v>
      </c>
      <c r="F160" s="46">
        <f>'Таблица №9'!G166</f>
        <v>0</v>
      </c>
      <c r="G160" s="46">
        <f>'Таблица №9'!H166</f>
        <v>0</v>
      </c>
      <c r="H160" s="46">
        <f>'Таблица №9'!I166</f>
        <v>0</v>
      </c>
      <c r="I160" s="46">
        <f>'Таблица №9'!J166</f>
        <v>0</v>
      </c>
      <c r="J160" s="46">
        <f>'Таблица №9'!K166</f>
        <v>0</v>
      </c>
    </row>
    <row r="161" spans="1:10" ht="12.75" outlineLevel="5">
      <c r="A161" s="51" t="str">
        <f>'Таблица №9'!A167</f>
        <v>Общее образование</v>
      </c>
      <c r="B161" s="47" t="str">
        <f>'Таблица №9'!C167</f>
        <v>0702</v>
      </c>
      <c r="C161" s="47"/>
      <c r="D161" s="47"/>
      <c r="E161" s="47"/>
      <c r="F161" s="46">
        <f>'Таблица №9'!G167</f>
        <v>-21152.699999999983</v>
      </c>
      <c r="G161" s="46">
        <f>'Таблица №9'!H167</f>
        <v>107545.70000000001</v>
      </c>
      <c r="H161" s="46">
        <f>'Таблица №9'!I167</f>
        <v>-3954.0000000000146</v>
      </c>
      <c r="I161" s="46">
        <f>'Таблица №9'!J167</f>
        <v>117037.49999999999</v>
      </c>
      <c r="J161" s="46">
        <f>'Таблица №9'!K167</f>
        <v>119259.2</v>
      </c>
    </row>
    <row r="162" spans="1:10" ht="25.5" outlineLevel="5">
      <c r="A162" s="51" t="str">
        <f>'Таблица №9'!A168</f>
        <v>Школы-детские сады, школы начальные, неполные средние и средние</v>
      </c>
      <c r="B162" s="47" t="str">
        <f>'Таблица №9'!C168</f>
        <v>0702</v>
      </c>
      <c r="C162" s="47"/>
      <c r="D162" s="47"/>
      <c r="E162" s="47"/>
      <c r="F162" s="46">
        <f>'Таблица №9'!G168</f>
        <v>-21152.699999999983</v>
      </c>
      <c r="G162" s="46">
        <f>'Таблица №9'!H168</f>
        <v>99145.70000000001</v>
      </c>
      <c r="H162" s="46">
        <f>'Таблица №9'!I168</f>
        <v>-6754.000000000015</v>
      </c>
      <c r="I162" s="46">
        <f>'Таблица №9'!J168</f>
        <v>108637.49999999999</v>
      </c>
      <c r="J162" s="46">
        <f>'Таблица №9'!K168</f>
        <v>107609.2</v>
      </c>
    </row>
    <row r="163" spans="1:10" ht="41.25" customHeight="1" outlineLevel="5">
      <c r="A163" s="51" t="str">
        <f>'Таблица №9'!A169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63" s="47" t="str">
        <f>'Таблица №9'!C169</f>
        <v>0702</v>
      </c>
      <c r="C163" s="47" t="str">
        <f>'Таблица №9'!D169</f>
        <v>02</v>
      </c>
      <c r="D163" s="47">
        <f>'Таблица №9'!E169</f>
        <v>0</v>
      </c>
      <c r="E163" s="47"/>
      <c r="F163" s="46">
        <f>'Таблица №9'!G169</f>
        <v>0</v>
      </c>
      <c r="G163" s="46">
        <f>'Таблица №9'!H169</f>
        <v>960</v>
      </c>
      <c r="H163" s="46">
        <f>'Таблица №9'!I169</f>
        <v>0</v>
      </c>
      <c r="I163" s="46">
        <f>'Таблица №9'!J169</f>
        <v>960</v>
      </c>
      <c r="J163" s="46">
        <f>'Таблица №9'!K169</f>
        <v>0</v>
      </c>
    </row>
    <row r="164" spans="1:10" ht="41.25" customHeight="1" outlineLevel="5">
      <c r="A164" s="51" t="str">
        <f>'Таблица №9'!A170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4" s="47" t="str">
        <f>'Таблица №9'!C170</f>
        <v>0702</v>
      </c>
      <c r="C164" s="47" t="str">
        <f>'Таблица №9'!D170</f>
        <v>02</v>
      </c>
      <c r="D164" s="47">
        <f>'Таблица №9'!E170</f>
        <v>3</v>
      </c>
      <c r="E164" s="47"/>
      <c r="F164" s="46">
        <f>'Таблица №9'!G170</f>
        <v>0</v>
      </c>
      <c r="G164" s="46">
        <f>'Таблица №9'!H170</f>
        <v>0</v>
      </c>
      <c r="H164" s="46">
        <f>'Таблица №9'!I170</f>
        <v>0</v>
      </c>
      <c r="I164" s="46">
        <f>'Таблица №9'!J170</f>
        <v>0</v>
      </c>
      <c r="J164" s="46">
        <f>'Таблица №9'!K170</f>
        <v>0</v>
      </c>
    </row>
    <row r="165" spans="1:10" ht="32.25" customHeight="1" outlineLevel="5">
      <c r="A165" s="51" t="str">
        <f>'Таблица №9'!A171</f>
        <v>Предоставление субсидий бюджетным, автономным учреждениям и иным некоммерческим организациям</v>
      </c>
      <c r="B165" s="47" t="str">
        <f>'Таблица №9'!C171</f>
        <v>0702</v>
      </c>
      <c r="C165" s="47" t="str">
        <f>'Таблица №9'!D171</f>
        <v>02</v>
      </c>
      <c r="D165" s="47">
        <f>'Таблица №9'!E171</f>
        <v>3</v>
      </c>
      <c r="E165" s="47">
        <f>'Таблица №9'!F171</f>
        <v>600</v>
      </c>
      <c r="F165" s="46">
        <f>'Таблица №9'!G171</f>
        <v>0</v>
      </c>
      <c r="G165" s="46">
        <f>'Таблица №9'!H171</f>
        <v>0</v>
      </c>
      <c r="H165" s="46">
        <f>'Таблица №9'!I171</f>
        <v>0</v>
      </c>
      <c r="I165" s="46">
        <f>'Таблица №9'!J171</f>
        <v>0</v>
      </c>
      <c r="J165" s="46">
        <f>'Таблица №9'!K171</f>
        <v>0</v>
      </c>
    </row>
    <row r="166" spans="1:10" ht="43.5" customHeight="1" outlineLevel="5">
      <c r="A166" s="51" t="str">
        <f>'Таблица №9'!A172</f>
        <v>Подпрограмма "Энергосбережение и повышение энергетической эффективности Алексеевского муниципального района"</v>
      </c>
      <c r="B166" s="47" t="str">
        <f>'Таблица №9'!C172</f>
        <v>0702</v>
      </c>
      <c r="C166" s="47" t="str">
        <f>'Таблица №9'!D172</f>
        <v>02</v>
      </c>
      <c r="D166" s="47">
        <f>'Таблица №9'!E172</f>
        <v>4</v>
      </c>
      <c r="E166" s="47"/>
      <c r="F166" s="46">
        <f>'Таблица №9'!G172</f>
        <v>0</v>
      </c>
      <c r="G166" s="46">
        <f>'Таблица №9'!H172</f>
        <v>960</v>
      </c>
      <c r="H166" s="46">
        <f>'Таблица №9'!I172</f>
        <v>0</v>
      </c>
      <c r="I166" s="46">
        <f>'Таблица №9'!J172</f>
        <v>960</v>
      </c>
      <c r="J166" s="46">
        <f>'Таблица №9'!K172</f>
        <v>0</v>
      </c>
    </row>
    <row r="167" spans="1:10" ht="25.5" outlineLevel="5">
      <c r="A167" s="51" t="str">
        <f>'Таблица №9'!A173</f>
        <v>Закупка товаров, работ и услуг для государственных (муниципальных) нужд</v>
      </c>
      <c r="B167" s="47" t="str">
        <f>'Таблица №9'!C173</f>
        <v>0702</v>
      </c>
      <c r="C167" s="47" t="str">
        <f>'Таблица №9'!D173</f>
        <v>02</v>
      </c>
      <c r="D167" s="47">
        <f>'Таблица №9'!E173</f>
        <v>4</v>
      </c>
      <c r="E167" s="47">
        <f>'Таблица №9'!F173</f>
        <v>200</v>
      </c>
      <c r="F167" s="46">
        <f>'Таблица №9'!G173</f>
        <v>0</v>
      </c>
      <c r="G167" s="46">
        <f>'Таблица №9'!H173</f>
        <v>140</v>
      </c>
      <c r="H167" s="46">
        <f>'Таблица №9'!I173</f>
        <v>0</v>
      </c>
      <c r="I167" s="46">
        <f>'Таблица №9'!J173</f>
        <v>140</v>
      </c>
      <c r="J167" s="46">
        <f>'Таблица №9'!K173</f>
        <v>0</v>
      </c>
    </row>
    <row r="168" spans="1:10" ht="25.5" outlineLevel="5">
      <c r="A168" s="51" t="str">
        <f>'Таблица №9'!A174</f>
        <v>Предоставление субсидий бюджетным, автономным учреждениям и иным некоммерческим организациям</v>
      </c>
      <c r="B168" s="47" t="str">
        <f>'Таблица №9'!C174</f>
        <v>0702</v>
      </c>
      <c r="C168" s="47" t="str">
        <f>'Таблица №9'!D174</f>
        <v>02</v>
      </c>
      <c r="D168" s="47">
        <f>'Таблица №9'!E174</f>
        <v>4</v>
      </c>
      <c r="E168" s="47">
        <f>'Таблица №9'!F174</f>
        <v>600</v>
      </c>
      <c r="F168" s="46">
        <f>'Таблица №9'!G174</f>
        <v>0</v>
      </c>
      <c r="G168" s="46">
        <f>'Таблица №9'!H174</f>
        <v>820</v>
      </c>
      <c r="H168" s="46">
        <f>'Таблица №9'!I174</f>
        <v>0</v>
      </c>
      <c r="I168" s="46">
        <f>'Таблица №9'!J174</f>
        <v>820</v>
      </c>
      <c r="J168" s="46">
        <f>'Таблица №9'!K174</f>
        <v>0</v>
      </c>
    </row>
    <row r="169" spans="1:10" ht="51" outlineLevel="5">
      <c r="A169" s="51" t="str">
        <f>'Таблица №9'!A175</f>
        <v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v>
      </c>
      <c r="B169" s="47" t="str">
        <f>'Таблица №9'!C175</f>
        <v>0702</v>
      </c>
      <c r="C169" s="47" t="str">
        <f>'Таблица №9'!D175</f>
        <v>16</v>
      </c>
      <c r="D169" s="47">
        <f>'Таблица №9'!E175</f>
        <v>0</v>
      </c>
      <c r="E169" s="47"/>
      <c r="F169" s="46">
        <f>'Таблица №9'!G175</f>
        <v>0</v>
      </c>
      <c r="G169" s="46">
        <f>'Таблица №9'!H175</f>
        <v>100</v>
      </c>
      <c r="H169" s="46">
        <f>'Таблица №9'!I175</f>
        <v>0</v>
      </c>
      <c r="I169" s="46">
        <f>'Таблица №9'!J175</f>
        <v>100</v>
      </c>
      <c r="J169" s="46">
        <f>'Таблица №9'!K175</f>
        <v>0</v>
      </c>
    </row>
    <row r="170" spans="1:10" ht="25.5" outlineLevel="5">
      <c r="A170" s="51" t="str">
        <f>'Таблица №9'!A176</f>
        <v>Предоставление субсидий бюджетным, автономным учреждениям и иным некоммерческим организациям</v>
      </c>
      <c r="B170" s="47" t="str">
        <f>'Таблица №9'!C176</f>
        <v>0702</v>
      </c>
      <c r="C170" s="47" t="str">
        <f>'Таблица №9'!D176</f>
        <v>16</v>
      </c>
      <c r="D170" s="47">
        <f>'Таблица №9'!E176</f>
        <v>0</v>
      </c>
      <c r="E170" s="47">
        <f>'Таблица №9'!F176</f>
        <v>600</v>
      </c>
      <c r="F170" s="46">
        <f>'Таблица №9'!G176</f>
        <v>0</v>
      </c>
      <c r="G170" s="46">
        <f>'Таблица №9'!H176</f>
        <v>100</v>
      </c>
      <c r="H170" s="46">
        <f>'Таблица №9'!I176</f>
        <v>0</v>
      </c>
      <c r="I170" s="46">
        <f>'Таблица №9'!J176</f>
        <v>100</v>
      </c>
      <c r="J170" s="46">
        <f>'Таблица №9'!K176</f>
        <v>0</v>
      </c>
    </row>
    <row r="171" spans="1:10" ht="114.75" outlineLevel="5">
      <c r="A171" s="51" t="str">
        <f>'Таблица №9'!A177</f>
        <v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v>
      </c>
      <c r="B171" s="47" t="str">
        <f>'Таблица №9'!C177</f>
        <v>0702</v>
      </c>
      <c r="C171" s="47" t="str">
        <f>'Таблица №9'!D177</f>
        <v>22</v>
      </c>
      <c r="D171" s="47">
        <f>'Таблица №9'!E177</f>
        <v>0</v>
      </c>
      <c r="E171" s="47"/>
      <c r="F171" s="46">
        <f>'Таблица №9'!G177</f>
        <v>171.7</v>
      </c>
      <c r="G171" s="46">
        <f>'Таблица №9'!H177</f>
        <v>171.7</v>
      </c>
      <c r="H171" s="46">
        <f>'Таблица №9'!I177</f>
        <v>171.7</v>
      </c>
      <c r="I171" s="46">
        <f>'Таблица №9'!J177</f>
        <v>171.7</v>
      </c>
      <c r="J171" s="46">
        <f>'Таблица №9'!K177</f>
        <v>206.1</v>
      </c>
    </row>
    <row r="172" spans="1:10" ht="25.5" outlineLevel="5">
      <c r="A172" s="51" t="str">
        <f>'Таблица №9'!A178</f>
        <v>Предоставление субсидий бюджетным, автономным учреждениям и иным некоммерческим организациям</v>
      </c>
      <c r="B172" s="47" t="str">
        <f>'Таблица №9'!C178</f>
        <v>0702</v>
      </c>
      <c r="C172" s="47" t="str">
        <f>'Таблица №9'!D178</f>
        <v>22</v>
      </c>
      <c r="D172" s="47">
        <f>'Таблица №9'!E178</f>
        <v>0</v>
      </c>
      <c r="E172" s="47">
        <f>'Таблица №9'!F178</f>
        <v>600</v>
      </c>
      <c r="F172" s="46">
        <f>'Таблица №9'!G178</f>
        <v>171.7</v>
      </c>
      <c r="G172" s="46">
        <f>'Таблица №9'!H178</f>
        <v>171.7</v>
      </c>
      <c r="H172" s="46">
        <f>'Таблица №9'!I178</f>
        <v>171.7</v>
      </c>
      <c r="I172" s="46">
        <f>'Таблица №9'!J178</f>
        <v>171.7</v>
      </c>
      <c r="J172" s="46">
        <f>'Таблица №9'!K178</f>
        <v>206.1</v>
      </c>
    </row>
    <row r="173" spans="1:10" ht="38.25" outlineLevel="5">
      <c r="A173" s="51" t="str">
        <f>'Таблица №9'!A179</f>
        <v>Ведомственная целевая программа "Развитие общего образования детей на  территории  Алексеевского муниципального района на 2017-2019 годы"</v>
      </c>
      <c r="B173" s="47" t="str">
        <f>'Таблица №9'!C179</f>
        <v>0702</v>
      </c>
      <c r="C173" s="47" t="str">
        <f>'Таблица №9'!D179</f>
        <v>53</v>
      </c>
      <c r="D173" s="47">
        <f>'Таблица №9'!E179</f>
        <v>0</v>
      </c>
      <c r="E173" s="47"/>
      <c r="F173" s="46">
        <f>'Таблица №9'!G179</f>
        <v>97914.00000000001</v>
      </c>
      <c r="G173" s="46">
        <f>'Таблица №9'!H179</f>
        <v>97914.00000000001</v>
      </c>
      <c r="H173" s="46">
        <f>'Таблица №9'!I179</f>
        <v>107405.79999999999</v>
      </c>
      <c r="I173" s="46">
        <f>'Таблица №9'!J179</f>
        <v>107405.79999999999</v>
      </c>
      <c r="J173" s="46">
        <f>'Таблица №9'!K179</f>
        <v>107403.09999999999</v>
      </c>
    </row>
    <row r="174" spans="1:10" ht="12.75" outlineLevel="5">
      <c r="A174" s="51" t="str">
        <f>'Таблица №9'!A180</f>
        <v>За счет средств бюджета муниципального района</v>
      </c>
      <c r="B174" s="47" t="str">
        <f>'Таблица №9'!C180</f>
        <v>0702</v>
      </c>
      <c r="C174" s="47" t="str">
        <f>'Таблица №9'!D180</f>
        <v>53</v>
      </c>
      <c r="D174" s="47">
        <f>'Таблица №9'!E180</f>
        <v>0</v>
      </c>
      <c r="E174" s="47"/>
      <c r="F174" s="46">
        <f>'Таблица №9'!G180</f>
        <v>15274.1</v>
      </c>
      <c r="G174" s="46">
        <f>'Таблица №9'!H180</f>
        <v>15274.1</v>
      </c>
      <c r="H174" s="46">
        <f>'Таблица №9'!I180</f>
        <v>18336.100000000002</v>
      </c>
      <c r="I174" s="46">
        <f>'Таблица №9'!J180</f>
        <v>18336.100000000002</v>
      </c>
      <c r="J174" s="46">
        <f>'Таблица №9'!K180</f>
        <v>18336.100000000002</v>
      </c>
    </row>
    <row r="175" spans="1:10" ht="63.75" outlineLevel="5">
      <c r="A175" s="51" t="str">
        <f>'Таблица №9'!A181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5" s="47" t="str">
        <f>'Таблица №9'!C181</f>
        <v>0702</v>
      </c>
      <c r="C175" s="47" t="str">
        <f>'Таблица №9'!D181</f>
        <v>53</v>
      </c>
      <c r="D175" s="47">
        <f>'Таблица №9'!E181</f>
        <v>0</v>
      </c>
      <c r="E175" s="47">
        <f>'Таблица №9'!F181</f>
        <v>100</v>
      </c>
      <c r="F175" s="46">
        <f>'Таблица №9'!G181</f>
        <v>51</v>
      </c>
      <c r="G175" s="46">
        <f>'Таблица №9'!H181</f>
        <v>51</v>
      </c>
      <c r="H175" s="46">
        <f>'Таблица №9'!I181</f>
        <v>63.7</v>
      </c>
      <c r="I175" s="46">
        <f>'Таблица №9'!J181</f>
        <v>63.7</v>
      </c>
      <c r="J175" s="46">
        <f>'Таблица №9'!K181</f>
        <v>63.7</v>
      </c>
    </row>
    <row r="176" spans="1:10" ht="25.5" outlineLevel="5">
      <c r="A176" s="51" t="str">
        <f>'Таблица №9'!A182</f>
        <v>Закупка товаров, работ и услуг для государственных (муниципальных) нужд</v>
      </c>
      <c r="B176" s="47" t="str">
        <f>'Таблица №9'!C182</f>
        <v>0702</v>
      </c>
      <c r="C176" s="47" t="str">
        <f>'Таблица №9'!D182</f>
        <v>53</v>
      </c>
      <c r="D176" s="47">
        <f>'Таблица №9'!E182</f>
        <v>0</v>
      </c>
      <c r="E176" s="47">
        <f>'Таблица №9'!F182</f>
        <v>200</v>
      </c>
      <c r="F176" s="46">
        <f>'Таблица №9'!G182</f>
        <v>1088</v>
      </c>
      <c r="G176" s="46">
        <f>'Таблица №9'!H182</f>
        <v>1088</v>
      </c>
      <c r="H176" s="46">
        <f>'Таблица №9'!I182</f>
        <v>1121.8</v>
      </c>
      <c r="I176" s="46">
        <f>'Таблица №9'!J182</f>
        <v>1121.8</v>
      </c>
      <c r="J176" s="46">
        <f>'Таблица №9'!K182</f>
        <v>1121.8</v>
      </c>
    </row>
    <row r="177" spans="1:10" ht="12.75" outlineLevel="5">
      <c r="A177" s="51" t="str">
        <f>'Таблица №9'!A183</f>
        <v>Иные бюджетные ассигнования</v>
      </c>
      <c r="B177" s="47" t="str">
        <f>'Таблица №9'!C183</f>
        <v>0702</v>
      </c>
      <c r="C177" s="47" t="str">
        <f>'Таблица №9'!D183</f>
        <v>53</v>
      </c>
      <c r="D177" s="47">
        <f>'Таблица №9'!E183</f>
        <v>0</v>
      </c>
      <c r="E177" s="47">
        <f>'Таблица №9'!F183</f>
        <v>800</v>
      </c>
      <c r="F177" s="46">
        <f>'Таблица №9'!G183</f>
        <v>76.6</v>
      </c>
      <c r="G177" s="46">
        <f>'Таблица №9'!H183</f>
        <v>76.6</v>
      </c>
      <c r="H177" s="46">
        <f>'Таблица №9'!I183</f>
        <v>39.2</v>
      </c>
      <c r="I177" s="46">
        <f>'Таблица №9'!J183</f>
        <v>39.2</v>
      </c>
      <c r="J177" s="46">
        <f>'Таблица №9'!K183</f>
        <v>39.2</v>
      </c>
    </row>
    <row r="178" spans="1:10" ht="25.5" outlineLevel="5">
      <c r="A178" s="51" t="str">
        <f>'Таблица №9'!A184</f>
        <v>Предоставление субсидий бюджетным, автономным учреждениям и иным некоммерческим организациям</v>
      </c>
      <c r="B178" s="47" t="str">
        <f>'Таблица №9'!C184</f>
        <v>0702</v>
      </c>
      <c r="C178" s="47" t="str">
        <f>'Таблица №9'!D184</f>
        <v>53</v>
      </c>
      <c r="D178" s="47">
        <f>'Таблица №9'!E184</f>
        <v>0</v>
      </c>
      <c r="E178" s="47">
        <f>'Таблица №9'!F184</f>
        <v>600</v>
      </c>
      <c r="F178" s="46">
        <f>'Таблица №9'!G184</f>
        <v>14058.5</v>
      </c>
      <c r="G178" s="46">
        <f>'Таблица №9'!H184</f>
        <v>14058.5</v>
      </c>
      <c r="H178" s="46">
        <f>'Таблица №9'!I184</f>
        <v>17111.4</v>
      </c>
      <c r="I178" s="46">
        <f>'Таблица №9'!J184</f>
        <v>17111.4</v>
      </c>
      <c r="J178" s="46">
        <f>'Таблица №9'!K184</f>
        <v>17111.4</v>
      </c>
    </row>
    <row r="179" spans="1:10" ht="12.75" outlineLevel="5">
      <c r="A179" s="51" t="str">
        <f>'Таблица №9'!A185</f>
        <v>За счет средств областного бюджета </v>
      </c>
      <c r="B179" s="47" t="str">
        <f>'Таблица №9'!C185</f>
        <v>0702</v>
      </c>
      <c r="C179" s="47" t="str">
        <f>'Таблица №9'!D185</f>
        <v>53</v>
      </c>
      <c r="D179" s="47">
        <f>'Таблица №9'!E185</f>
        <v>0</v>
      </c>
      <c r="E179" s="47"/>
      <c r="F179" s="46">
        <f>'Таблица №9'!G185</f>
        <v>82639.90000000001</v>
      </c>
      <c r="G179" s="46">
        <f>'Таблица №9'!H185</f>
        <v>82639.90000000001</v>
      </c>
      <c r="H179" s="46">
        <f>'Таблица №9'!I185</f>
        <v>89069.69999999998</v>
      </c>
      <c r="I179" s="46">
        <f>'Таблица №9'!J185</f>
        <v>89069.69999999998</v>
      </c>
      <c r="J179" s="46">
        <f>'Таблица №9'!K185</f>
        <v>89066.99999999999</v>
      </c>
    </row>
    <row r="180" spans="1:10" ht="63.75" outlineLevel="5">
      <c r="A180" s="51" t="str">
        <f>'Таблица №9'!A186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0" s="47" t="str">
        <f>'Таблица №9'!C186</f>
        <v>0702</v>
      </c>
      <c r="C180" s="47" t="str">
        <f>'Таблица №9'!D186</f>
        <v>53</v>
      </c>
      <c r="D180" s="47">
        <f>'Таблица №9'!E186</f>
        <v>0</v>
      </c>
      <c r="E180" s="47">
        <f>'Таблица №9'!F186</f>
        <v>100</v>
      </c>
      <c r="F180" s="46">
        <f>'Таблица №9'!G186</f>
        <v>3873</v>
      </c>
      <c r="G180" s="46">
        <f>'Таблица №9'!H186</f>
        <v>3873</v>
      </c>
      <c r="H180" s="46">
        <f>'Таблица №9'!I186</f>
        <v>3873</v>
      </c>
      <c r="I180" s="46">
        <f>'Таблица №9'!J186</f>
        <v>3873</v>
      </c>
      <c r="J180" s="46">
        <f>'Таблица №9'!K186</f>
        <v>3873</v>
      </c>
    </row>
    <row r="181" spans="1:10" ht="52.5" customHeight="1" outlineLevel="5">
      <c r="A181" s="51" t="str">
        <f>'Таблица №9'!A187</f>
        <v>Субсидии бюджетным учреждениям на финансовое обеспечение  погашения задолженности по денежным обязательствам, возникшим и неоплаченным на 01.01.2017 г. за счет средств областного бюджета </v>
      </c>
      <c r="B181" s="47" t="str">
        <f>'Таблица №9'!C187</f>
        <v>0702</v>
      </c>
      <c r="C181" s="47" t="str">
        <f>'Таблица №9'!D187</f>
        <v>53</v>
      </c>
      <c r="D181" s="47">
        <f>'Таблица №9'!E187</f>
        <v>0</v>
      </c>
      <c r="E181" s="47">
        <f>'Таблица №9'!F187</f>
        <v>100</v>
      </c>
      <c r="F181" s="46">
        <f>'Таблица №9'!G187</f>
        <v>0</v>
      </c>
      <c r="G181" s="46">
        <f>'Таблица №9'!H187</f>
        <v>0</v>
      </c>
      <c r="H181" s="46">
        <f>'Таблица №9'!I187</f>
        <v>0</v>
      </c>
      <c r="I181" s="46">
        <f>'Таблица №9'!J187</f>
        <v>0</v>
      </c>
      <c r="J181" s="46">
        <f>'Таблица №9'!K187</f>
        <v>0</v>
      </c>
    </row>
    <row r="182" spans="1:10" ht="25.5" outlineLevel="5">
      <c r="A182" s="51" t="str">
        <f>'Таблица №9'!A188</f>
        <v>Закупка товаров, работ и услуг для государственных (муниципальных) нужд</v>
      </c>
      <c r="B182" s="47" t="str">
        <f>'Таблица №9'!C188</f>
        <v>0702</v>
      </c>
      <c r="C182" s="47" t="str">
        <f>'Таблица №9'!D188</f>
        <v>53</v>
      </c>
      <c r="D182" s="47">
        <f>'Таблица №9'!E188</f>
        <v>0</v>
      </c>
      <c r="E182" s="47">
        <f>'Таблица №9'!F188</f>
        <v>200</v>
      </c>
      <c r="F182" s="46">
        <f>'Таблица №9'!G188</f>
        <v>39.2</v>
      </c>
      <c r="G182" s="46">
        <f>'Таблица №9'!H188</f>
        <v>39.2</v>
      </c>
      <c r="H182" s="46">
        <f>'Таблица №9'!I188</f>
        <v>39.2</v>
      </c>
      <c r="I182" s="46">
        <f>'Таблица №9'!J188</f>
        <v>39.2</v>
      </c>
      <c r="J182" s="46">
        <f>'Таблица №9'!K188</f>
        <v>39.2</v>
      </c>
    </row>
    <row r="183" spans="1:10" ht="12.75" outlineLevel="5">
      <c r="A183" s="51" t="str">
        <f>'Таблица №9'!A189</f>
        <v>За счет средств областного бюджета на питание</v>
      </c>
      <c r="B183" s="47" t="str">
        <f>'Таблица №9'!C189</f>
        <v>0702</v>
      </c>
      <c r="C183" s="47" t="str">
        <f>'Таблица №9'!D189</f>
        <v>53</v>
      </c>
      <c r="D183" s="47">
        <f>'Таблица №9'!E189</f>
        <v>0</v>
      </c>
      <c r="E183" s="47">
        <f>'Таблица №9'!F189</f>
        <v>200</v>
      </c>
      <c r="F183" s="46">
        <f>'Таблица №9'!G189</f>
        <v>38.3</v>
      </c>
      <c r="G183" s="46">
        <f>'Таблица №9'!H189</f>
        <v>38.3</v>
      </c>
      <c r="H183" s="46">
        <f>'Таблица №9'!I189</f>
        <v>38.3</v>
      </c>
      <c r="I183" s="46">
        <f>'Таблица №9'!J189</f>
        <v>38.3</v>
      </c>
      <c r="J183" s="46">
        <f>'Таблица №9'!K189</f>
        <v>38.3</v>
      </c>
    </row>
    <row r="184" spans="1:10" ht="25.5" outlineLevel="5">
      <c r="A184" s="51" t="str">
        <f>'Таблица №9'!A190</f>
        <v>За счет средств областного бюджета на образовательный процесс</v>
      </c>
      <c r="B184" s="47" t="str">
        <f>'Таблица №9'!C190</f>
        <v>0702</v>
      </c>
      <c r="C184" s="47" t="str">
        <f>'Таблица №9'!D190</f>
        <v>53</v>
      </c>
      <c r="D184" s="47">
        <f>'Таблица №9'!E190</f>
        <v>0</v>
      </c>
      <c r="E184" s="47">
        <f>'Таблица №9'!F190</f>
        <v>600</v>
      </c>
      <c r="F184" s="46">
        <f>'Таблица №9'!G190</f>
        <v>76851.1</v>
      </c>
      <c r="G184" s="46">
        <f>'Таблица №9'!H190</f>
        <v>76851.1</v>
      </c>
      <c r="H184" s="46">
        <f>'Таблица №9'!I190</f>
        <v>83136.29999999999</v>
      </c>
      <c r="I184" s="46">
        <f>'Таблица №9'!J190</f>
        <v>83136.29999999999</v>
      </c>
      <c r="J184" s="46">
        <f>'Таблица №9'!K190</f>
        <v>83133.59999999999</v>
      </c>
    </row>
    <row r="185" spans="1:10" ht="51" outlineLevel="5">
      <c r="A185" s="51" t="str">
        <f>'Таблица №9'!A191</f>
        <v>Субсидии бюджетным учреждениям на финансовое обеспечение  погашения задолженности по денежным обязательствам, возникшим и неоплаченным на 01.01.2017 г.  за счет средств областного бюджета </v>
      </c>
      <c r="B185" s="47" t="str">
        <f>'Таблица №9'!C191</f>
        <v>0702</v>
      </c>
      <c r="C185" s="47" t="str">
        <f>'Таблица №9'!D191</f>
        <v>53</v>
      </c>
      <c r="D185" s="47">
        <f>'Таблица №9'!E191</f>
        <v>0</v>
      </c>
      <c r="E185" s="47">
        <f>'Таблица №9'!F191</f>
        <v>600</v>
      </c>
      <c r="F185" s="46">
        <f>'Таблица №9'!G191</f>
        <v>0</v>
      </c>
      <c r="G185" s="46">
        <f>'Таблица №9'!H191</f>
        <v>0</v>
      </c>
      <c r="H185" s="46">
        <f>'Таблица №9'!I191</f>
        <v>0</v>
      </c>
      <c r="I185" s="46">
        <f>'Таблица №9'!J191</f>
        <v>0</v>
      </c>
      <c r="J185" s="46">
        <f>'Таблица №9'!K191</f>
        <v>0</v>
      </c>
    </row>
    <row r="186" spans="1:10" ht="12.75" outlineLevel="5">
      <c r="A186" s="51" t="str">
        <f>'Таблица №9'!A192</f>
        <v>За счет средств областного бюджета на питание</v>
      </c>
      <c r="B186" s="47" t="str">
        <f>'Таблица №9'!C192</f>
        <v>0702</v>
      </c>
      <c r="C186" s="47" t="str">
        <f>'Таблица №9'!D192</f>
        <v>53</v>
      </c>
      <c r="D186" s="47">
        <f>'Таблица №9'!E192</f>
        <v>0</v>
      </c>
      <c r="E186" s="47">
        <f>'Таблица №9'!F192</f>
        <v>600</v>
      </c>
      <c r="F186" s="46">
        <f>'Таблица №9'!G192</f>
        <v>1838.3</v>
      </c>
      <c r="G186" s="46">
        <f>'Таблица №9'!H192</f>
        <v>1838.3</v>
      </c>
      <c r="H186" s="46">
        <f>'Таблица №9'!I192</f>
        <v>1982.9</v>
      </c>
      <c r="I186" s="46">
        <f>'Таблица №9'!J192</f>
        <v>1982.9</v>
      </c>
      <c r="J186" s="46">
        <f>'Таблица №9'!K192</f>
        <v>1982.9</v>
      </c>
    </row>
    <row r="187" spans="1:10" ht="25.5" outlineLevel="5">
      <c r="A187" s="51" t="str">
        <f>'Таблица №9'!A193</f>
        <v>За счет средств на расходы на осуществление социальных гарантий молодым специалистам</v>
      </c>
      <c r="B187" s="47" t="str">
        <f>'Таблица №9'!C193</f>
        <v>0702</v>
      </c>
      <c r="C187" s="47" t="str">
        <f>'Таблица №9'!D193</f>
        <v>53</v>
      </c>
      <c r="D187" s="47">
        <f>'Таблица №9'!E193</f>
        <v>0</v>
      </c>
      <c r="E187" s="47">
        <f>'Таблица №9'!F193</f>
        <v>600</v>
      </c>
      <c r="F187" s="46">
        <f>'Таблица №9'!G193</f>
        <v>0</v>
      </c>
      <c r="G187" s="46">
        <f>'Таблица №9'!H193</f>
        <v>0</v>
      </c>
      <c r="H187" s="46">
        <f>'Таблица №9'!I193</f>
        <v>0</v>
      </c>
      <c r="I187" s="46">
        <f>'Таблица №9'!J193</f>
        <v>0</v>
      </c>
      <c r="J187" s="46">
        <f>'Таблица №9'!K193</f>
        <v>0</v>
      </c>
    </row>
    <row r="188" spans="1:10" ht="25.5" outlineLevel="5">
      <c r="A188" s="51" t="str">
        <f>'Таблица №9'!A194</f>
        <v>За счет средств на софинансирование из федерального бюджета</v>
      </c>
      <c r="B188" s="47" t="str">
        <f>'Таблица №9'!C194</f>
        <v>0702</v>
      </c>
      <c r="C188" s="47" t="str">
        <f>'Таблица №9'!D194</f>
        <v>53</v>
      </c>
      <c r="D188" s="47">
        <f>'Таблица №9'!E194</f>
        <v>0</v>
      </c>
      <c r="E188" s="47">
        <f>'Таблица №9'!F194</f>
        <v>600</v>
      </c>
      <c r="F188" s="46">
        <f>'Таблица №9'!G194</f>
        <v>0</v>
      </c>
      <c r="G188" s="46">
        <f>'Таблица №9'!H194</f>
        <v>0</v>
      </c>
      <c r="H188" s="46">
        <f>'Таблица №9'!I194</f>
        <v>0</v>
      </c>
      <c r="I188" s="46">
        <f>'Таблица №9'!J194</f>
        <v>0</v>
      </c>
      <c r="J188" s="46">
        <f>'Таблица №9'!K194</f>
        <v>0</v>
      </c>
    </row>
    <row r="189" spans="1:10" ht="27.75" customHeight="1" outlineLevel="5">
      <c r="A189" s="51" t="str">
        <f>'Таблица №9'!A195</f>
        <v>Непрограммные расходы органов местного самоуправления Алексеевского муниципального района</v>
      </c>
      <c r="B189" s="47" t="str">
        <f>'Таблица №9'!C195</f>
        <v>0702</v>
      </c>
      <c r="C189" s="47" t="str">
        <f>'Таблица №9'!D195</f>
        <v>99</v>
      </c>
      <c r="D189" s="47">
        <f>'Таблица №9'!E195</f>
        <v>0</v>
      </c>
      <c r="E189" s="47"/>
      <c r="F189" s="46">
        <f>'Таблица №9'!G195</f>
        <v>-119238.4</v>
      </c>
      <c r="G189" s="46">
        <f>'Таблица №9'!H195</f>
        <v>0</v>
      </c>
      <c r="H189" s="46">
        <f>'Таблица №9'!I195</f>
        <v>-114331.5</v>
      </c>
      <c r="I189" s="46">
        <f>'Таблица №9'!J195</f>
        <v>0</v>
      </c>
      <c r="J189" s="46">
        <f>'Таблица №9'!K195</f>
        <v>0</v>
      </c>
    </row>
    <row r="190" spans="1:10" ht="12.75" outlineLevel="5">
      <c r="A190" s="51" t="str">
        <f>'Таблица №9'!A196</f>
        <v>За счет средств бюджета муниципального района</v>
      </c>
      <c r="B190" s="47" t="str">
        <f>'Таблица №9'!C196</f>
        <v>0702</v>
      </c>
      <c r="C190" s="47" t="str">
        <f>'Таблица №9'!D196</f>
        <v>99</v>
      </c>
      <c r="D190" s="47">
        <f>'Таблица №9'!E196</f>
        <v>0</v>
      </c>
      <c r="E190" s="47"/>
      <c r="F190" s="46">
        <f>'Таблица №9'!G196</f>
        <v>-14022</v>
      </c>
      <c r="G190" s="46">
        <f>'Таблица №9'!H196</f>
        <v>0</v>
      </c>
      <c r="H190" s="46">
        <f>'Таблица №9'!I196</f>
        <v>-9115.1</v>
      </c>
      <c r="I190" s="46">
        <f>'Таблица №9'!J196</f>
        <v>0</v>
      </c>
      <c r="J190" s="46">
        <f>'Таблица №9'!K196</f>
        <v>0</v>
      </c>
    </row>
    <row r="191" spans="1:10" ht="63.75" outlineLevel="5">
      <c r="A191" s="51" t="str">
        <f>'Таблица №9'!A197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1" s="47" t="str">
        <f>'Таблица №9'!C197</f>
        <v>0702</v>
      </c>
      <c r="C191" s="47" t="str">
        <f>'Таблица №9'!D197</f>
        <v>99</v>
      </c>
      <c r="D191" s="47">
        <f>'Таблица №9'!E197</f>
        <v>0</v>
      </c>
      <c r="E191" s="47">
        <f>'Таблица №9'!F197</f>
        <v>100</v>
      </c>
      <c r="F191" s="46">
        <f>'Таблица №9'!G197</f>
        <v>-51</v>
      </c>
      <c r="G191" s="46">
        <f>'Таблица №9'!H197</f>
        <v>0</v>
      </c>
      <c r="H191" s="46">
        <f>'Таблица №9'!I197</f>
        <v>-30</v>
      </c>
      <c r="I191" s="46">
        <f>'Таблица №9'!J197</f>
        <v>0</v>
      </c>
      <c r="J191" s="46">
        <f>'Таблица №9'!K197</f>
        <v>0</v>
      </c>
    </row>
    <row r="192" spans="1:10" ht="25.5" outlineLevel="5">
      <c r="A192" s="51" t="str">
        <f>'Таблица №9'!A198</f>
        <v>Закупка товаров, работ и услуг для государственных (муниципальных) нужд</v>
      </c>
      <c r="B192" s="47" t="str">
        <f>'Таблица №9'!C198</f>
        <v>0702</v>
      </c>
      <c r="C192" s="47" t="str">
        <f>'Таблица №9'!D198</f>
        <v>99</v>
      </c>
      <c r="D192" s="47">
        <f>'Таблица №9'!E198</f>
        <v>0</v>
      </c>
      <c r="E192" s="47">
        <f>'Таблица №9'!F198</f>
        <v>200</v>
      </c>
      <c r="F192" s="46">
        <f>'Таблица №9'!G198</f>
        <v>-1088</v>
      </c>
      <c r="G192" s="46">
        <f>'Таблица №9'!H198</f>
        <v>0</v>
      </c>
      <c r="H192" s="46">
        <f>'Таблица №9'!I198</f>
        <v>-712</v>
      </c>
      <c r="I192" s="46">
        <f>'Таблица №9'!J198</f>
        <v>0</v>
      </c>
      <c r="J192" s="46">
        <f>'Таблица №9'!K198</f>
        <v>0</v>
      </c>
    </row>
    <row r="193" spans="1:10" ht="12.75" outlineLevel="5">
      <c r="A193" s="51" t="str">
        <f>'Таблица №9'!A199</f>
        <v>Иные бюджетные ассигнования</v>
      </c>
      <c r="B193" s="47" t="str">
        <f>'Таблица №9'!C199</f>
        <v>0702</v>
      </c>
      <c r="C193" s="47" t="str">
        <f>'Таблица №9'!D199</f>
        <v>99</v>
      </c>
      <c r="D193" s="47">
        <f>'Таблица №9'!E199</f>
        <v>0</v>
      </c>
      <c r="E193" s="47">
        <f>'Таблица №9'!F199</f>
        <v>800</v>
      </c>
      <c r="F193" s="46">
        <f>'Таблица №9'!G199</f>
        <v>-76.6</v>
      </c>
      <c r="G193" s="46">
        <f>'Таблица №9'!H199</f>
        <v>0</v>
      </c>
      <c r="H193" s="46">
        <f>'Таблица №9'!I199</f>
        <v>-50</v>
      </c>
      <c r="I193" s="46">
        <f>'Таблица №9'!J199</f>
        <v>0</v>
      </c>
      <c r="J193" s="46">
        <f>'Таблица №9'!K199</f>
        <v>0</v>
      </c>
    </row>
    <row r="194" spans="1:10" ht="25.5" outlineLevel="5">
      <c r="A194" s="51" t="str">
        <f>'Таблица №9'!A200</f>
        <v>Предоставление субсидий бюджетным, автономным учреждениям и иным некоммерческим организациям</v>
      </c>
      <c r="B194" s="47" t="str">
        <f>'Таблица №9'!C200</f>
        <v>0702</v>
      </c>
      <c r="C194" s="47" t="str">
        <f>'Таблица №9'!D200</f>
        <v>99</v>
      </c>
      <c r="D194" s="47">
        <f>'Таблица №9'!E200</f>
        <v>0</v>
      </c>
      <c r="E194" s="47">
        <f>'Таблица №9'!F200</f>
        <v>600</v>
      </c>
      <c r="F194" s="46">
        <f>'Таблица №9'!G200</f>
        <v>-12806.4</v>
      </c>
      <c r="G194" s="46">
        <f>'Таблица №9'!H200</f>
        <v>0</v>
      </c>
      <c r="H194" s="46">
        <f>'Таблица №9'!I200</f>
        <v>-8323.1</v>
      </c>
      <c r="I194" s="46">
        <f>'Таблица №9'!J200</f>
        <v>0</v>
      </c>
      <c r="J194" s="46">
        <f>'Таблица №9'!K200</f>
        <v>0</v>
      </c>
    </row>
    <row r="195" spans="1:10" ht="12.75" outlineLevel="5">
      <c r="A195" s="51" t="str">
        <f>'Таблица №9'!A201</f>
        <v>За счет средств областного бюджета </v>
      </c>
      <c r="B195" s="47" t="str">
        <f>'Таблица №9'!C201</f>
        <v>0702</v>
      </c>
      <c r="C195" s="47" t="str">
        <f>'Таблица №9'!D201</f>
        <v>99</v>
      </c>
      <c r="D195" s="47">
        <f>'Таблица №9'!E201</f>
        <v>0</v>
      </c>
      <c r="E195" s="47"/>
      <c r="F195" s="46">
        <f>'Таблица №9'!G201</f>
        <v>-105216.4</v>
      </c>
      <c r="G195" s="46">
        <f>'Таблица №9'!H201</f>
        <v>0</v>
      </c>
      <c r="H195" s="46">
        <f>'Таблица №9'!I201</f>
        <v>-105216.4</v>
      </c>
      <c r="I195" s="46">
        <f>'Таблица №9'!J201</f>
        <v>0</v>
      </c>
      <c r="J195" s="46">
        <f>'Таблица №9'!K201</f>
        <v>0</v>
      </c>
    </row>
    <row r="196" spans="1:10" ht="63.75" outlineLevel="5">
      <c r="A196" s="51" t="str">
        <f>'Таблица №9'!A202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6" s="47" t="str">
        <f>'Таблица №9'!C202</f>
        <v>0702</v>
      </c>
      <c r="C196" s="47" t="str">
        <f>'Таблица №9'!D202</f>
        <v>99</v>
      </c>
      <c r="D196" s="47">
        <f>'Таблица №9'!E202</f>
        <v>0</v>
      </c>
      <c r="E196" s="47">
        <f>'Таблица №9'!F202</f>
        <v>100</v>
      </c>
      <c r="F196" s="46">
        <f>'Таблица №9'!G202</f>
        <v>-3873</v>
      </c>
      <c r="G196" s="46">
        <f>'Таблица №9'!H202</f>
        <v>0</v>
      </c>
      <c r="H196" s="46">
        <f>'Таблица №9'!I202</f>
        <v>-3873</v>
      </c>
      <c r="I196" s="46">
        <f>'Таблица №9'!J202</f>
        <v>0</v>
      </c>
      <c r="J196" s="46">
        <f>'Таблица №9'!K202</f>
        <v>0</v>
      </c>
    </row>
    <row r="197" spans="1:10" ht="25.5" outlineLevel="5">
      <c r="A197" s="51" t="str">
        <f>'Таблица №9'!A203</f>
        <v>Закупка товаров, работ и услуг для государственных (муниципальных) нужд</v>
      </c>
      <c r="B197" s="47" t="str">
        <f>'Таблица №9'!C203</f>
        <v>0702</v>
      </c>
      <c r="C197" s="47" t="str">
        <f>'Таблица №9'!D203</f>
        <v>99</v>
      </c>
      <c r="D197" s="47">
        <f>'Таблица №9'!E203</f>
        <v>0</v>
      </c>
      <c r="E197" s="47">
        <f>'Таблица №9'!F203</f>
        <v>200</v>
      </c>
      <c r="F197" s="46">
        <f>'Таблица №9'!G203</f>
        <v>-39.2</v>
      </c>
      <c r="G197" s="46">
        <f>'Таблица №9'!H203</f>
        <v>0</v>
      </c>
      <c r="H197" s="46">
        <f>'Таблица №9'!I203</f>
        <v>-39.2</v>
      </c>
      <c r="I197" s="46">
        <f>'Таблица №9'!J203</f>
        <v>0</v>
      </c>
      <c r="J197" s="46">
        <f>'Таблица №9'!K203</f>
        <v>0</v>
      </c>
    </row>
    <row r="198" spans="1:10" ht="12.75" outlineLevel="5">
      <c r="A198" s="51" t="str">
        <f>'Таблица №9'!A204</f>
        <v>За счет средств областного бюджета на питание</v>
      </c>
      <c r="B198" s="47" t="str">
        <f>'Таблица №9'!C204</f>
        <v>0702</v>
      </c>
      <c r="C198" s="47" t="str">
        <f>'Таблица №9'!D204</f>
        <v>99</v>
      </c>
      <c r="D198" s="47">
        <f>'Таблица №9'!E204</f>
        <v>0</v>
      </c>
      <c r="E198" s="47">
        <f>'Таблица №9'!F204</f>
        <v>200</v>
      </c>
      <c r="F198" s="46">
        <f>'Таблица №9'!G204</f>
        <v>-38.3</v>
      </c>
      <c r="G198" s="46">
        <f>'Таблица №9'!H204</f>
        <v>0</v>
      </c>
      <c r="H198" s="46">
        <f>'Таблица №9'!I204</f>
        <v>-38.3</v>
      </c>
      <c r="I198" s="46">
        <f>'Таблица №9'!J204</f>
        <v>0</v>
      </c>
      <c r="J198" s="46">
        <f>'Таблица №9'!K204</f>
        <v>0</v>
      </c>
    </row>
    <row r="199" spans="1:10" ht="25.5" outlineLevel="5">
      <c r="A199" s="51" t="str">
        <f>'Таблица №9'!A205</f>
        <v>За счет средств областного бюджета на образовательный процесс</v>
      </c>
      <c r="B199" s="47" t="str">
        <f>'Таблица №9'!C205</f>
        <v>0702</v>
      </c>
      <c r="C199" s="47" t="str">
        <f>'Таблица №9'!D205</f>
        <v>99</v>
      </c>
      <c r="D199" s="47">
        <f>'Таблица №9'!E205</f>
        <v>0</v>
      </c>
      <c r="E199" s="47">
        <f>'Таблица №9'!F205</f>
        <v>600</v>
      </c>
      <c r="F199" s="46">
        <f>'Таблица №9'!G205</f>
        <v>-99600.2</v>
      </c>
      <c r="G199" s="46">
        <f>'Таблица №9'!H205</f>
        <v>0</v>
      </c>
      <c r="H199" s="46">
        <f>'Таблица №9'!I205</f>
        <v>-99600.2</v>
      </c>
      <c r="I199" s="46">
        <f>'Таблица №9'!J205</f>
        <v>0</v>
      </c>
      <c r="J199" s="46">
        <f>'Таблица №9'!K205</f>
        <v>0</v>
      </c>
    </row>
    <row r="200" spans="1:10" ht="12.75" outlineLevel="5">
      <c r="A200" s="51" t="str">
        <f>'Таблица №9'!A206</f>
        <v>За счет средств областного бюджета на питание</v>
      </c>
      <c r="B200" s="47" t="str">
        <f>'Таблица №9'!C206</f>
        <v>0702</v>
      </c>
      <c r="C200" s="47" t="str">
        <f>'Таблица №9'!D206</f>
        <v>99</v>
      </c>
      <c r="D200" s="47">
        <f>'Таблица №9'!E206</f>
        <v>0</v>
      </c>
      <c r="E200" s="47">
        <f>'Таблица №9'!F206</f>
        <v>600</v>
      </c>
      <c r="F200" s="46">
        <f>'Таблица №9'!G206</f>
        <v>-1665.7</v>
      </c>
      <c r="G200" s="46">
        <f>'Таблица №9'!H206</f>
        <v>0</v>
      </c>
      <c r="H200" s="46">
        <f>'Таблица №9'!I206</f>
        <v>-1665.7</v>
      </c>
      <c r="I200" s="46">
        <f>'Таблица №9'!J206</f>
        <v>0</v>
      </c>
      <c r="J200" s="46">
        <f>'Таблица №9'!K206</f>
        <v>0</v>
      </c>
    </row>
    <row r="201" spans="1:10" ht="25.5" outlineLevel="5">
      <c r="A201" s="51" t="str">
        <f>'Таблица №9'!A207</f>
        <v>За счет средств на расходы на осуществление социальных гарантий молодым специалистам</v>
      </c>
      <c r="B201" s="47" t="str">
        <f>'Таблица №9'!C207</f>
        <v>0702</v>
      </c>
      <c r="C201" s="47" t="str">
        <f>'Таблица №9'!D207</f>
        <v>99</v>
      </c>
      <c r="D201" s="47">
        <f>'Таблица №9'!E207</f>
        <v>0</v>
      </c>
      <c r="E201" s="47">
        <f>'Таблица №9'!F207</f>
        <v>600</v>
      </c>
      <c r="F201" s="46">
        <f>'Таблица №9'!G207</f>
        <v>0</v>
      </c>
      <c r="G201" s="46">
        <f>'Таблица №9'!H207</f>
        <v>0</v>
      </c>
      <c r="H201" s="46">
        <f>'Таблица №9'!I207</f>
        <v>0</v>
      </c>
      <c r="I201" s="46">
        <f>'Таблица №9'!J207</f>
        <v>0</v>
      </c>
      <c r="J201" s="46">
        <f>'Таблица №9'!K207</f>
        <v>0</v>
      </c>
    </row>
    <row r="202" spans="1:10" ht="12.75" outlineLevel="5">
      <c r="A202" s="51" t="str">
        <f>'Таблица №9'!A208</f>
        <v>Учреждения по внешкольной работе с детьми</v>
      </c>
      <c r="B202" s="47" t="str">
        <f>'Таблица №9'!C208</f>
        <v>0702</v>
      </c>
      <c r="C202" s="47"/>
      <c r="D202" s="47"/>
      <c r="E202" s="47"/>
      <c r="F202" s="46">
        <f>'Таблица №9'!G208</f>
        <v>0</v>
      </c>
      <c r="G202" s="46">
        <f>'Таблица №9'!H208</f>
        <v>8400</v>
      </c>
      <c r="H202" s="46">
        <f>'Таблица №9'!I208</f>
        <v>2800</v>
      </c>
      <c r="I202" s="46">
        <f>'Таблица №9'!J208</f>
        <v>8400</v>
      </c>
      <c r="J202" s="46">
        <f>'Таблица №9'!K208</f>
        <v>11650</v>
      </c>
    </row>
    <row r="203" spans="1:10" ht="51" outlineLevel="5">
      <c r="A203" s="51" t="str">
        <f>'Таблица №9'!A209</f>
        <v>Ведомственная целевая программа "Реализация дополнительных общеобразовательных предпрофессиональных  программ в  Алексеевском муниципальном районе на 2016-2018 годы" (ДШИ)</v>
      </c>
      <c r="B203" s="47" t="str">
        <f>'Таблица №9'!C209</f>
        <v>0702</v>
      </c>
      <c r="C203" s="47" t="str">
        <f>'Таблица №9'!D209</f>
        <v>54</v>
      </c>
      <c r="D203" s="47">
        <f>'Таблица №9'!E209</f>
        <v>0</v>
      </c>
      <c r="E203" s="47"/>
      <c r="F203" s="46">
        <f>'Таблица №9'!G209</f>
        <v>0</v>
      </c>
      <c r="G203" s="46">
        <f>'Таблица №9'!H209</f>
        <v>4300</v>
      </c>
      <c r="H203" s="46">
        <f>'Таблица №9'!I209</f>
        <v>1400</v>
      </c>
      <c r="I203" s="46">
        <f>'Таблица №9'!J209</f>
        <v>4300</v>
      </c>
      <c r="J203" s="46">
        <f>'Таблица №9'!K209</f>
        <v>5300</v>
      </c>
    </row>
    <row r="204" spans="1:10" ht="25.5" outlineLevel="5">
      <c r="A204" s="51" t="str">
        <f>'Таблица №9'!A210</f>
        <v>Предоставление субсидий бюджетным, автономным учреждениям и иным некоммерческим организациям</v>
      </c>
      <c r="B204" s="47" t="str">
        <f>'Таблица №9'!C210</f>
        <v>0702</v>
      </c>
      <c r="C204" s="47" t="str">
        <f>'Таблица №9'!D210</f>
        <v>54</v>
      </c>
      <c r="D204" s="47">
        <f>'Таблица №9'!E210</f>
        <v>0</v>
      </c>
      <c r="E204" s="47">
        <f>'Таблица №9'!F210</f>
        <v>600</v>
      </c>
      <c r="F204" s="46">
        <f>'Таблица №9'!G210</f>
        <v>0</v>
      </c>
      <c r="G204" s="46">
        <f>'Таблица №9'!H210</f>
        <v>4300</v>
      </c>
      <c r="H204" s="46">
        <f>'Таблица №9'!I210</f>
        <v>1400</v>
      </c>
      <c r="I204" s="46">
        <f>'Таблица №9'!J210</f>
        <v>4300</v>
      </c>
      <c r="J204" s="46">
        <f>'Таблица №9'!K210</f>
        <v>5300</v>
      </c>
    </row>
    <row r="205" spans="1:10" ht="51" outlineLevel="5">
      <c r="A205" s="51" t="str">
        <f>'Таблица №9'!A211</f>
        <v>Ведомственная целевая программа "Развитие физической культуры и спорта в  учреждение  дополнительного образования детей Алексеевского муниципального района на 2016-2018 годы" (ДЮСШ)</v>
      </c>
      <c r="B205" s="47" t="str">
        <f>'Таблица №9'!C211</f>
        <v>0702</v>
      </c>
      <c r="C205" s="47" t="str">
        <f>'Таблица №9'!D211</f>
        <v>55</v>
      </c>
      <c r="D205" s="47">
        <f>'Таблица №9'!E211</f>
        <v>0</v>
      </c>
      <c r="E205" s="47"/>
      <c r="F205" s="46">
        <f>'Таблица №9'!G211</f>
        <v>0</v>
      </c>
      <c r="G205" s="46">
        <f>'Таблица №9'!H211</f>
        <v>4100</v>
      </c>
      <c r="H205" s="46">
        <f>'Таблица №9'!I211</f>
        <v>1400</v>
      </c>
      <c r="I205" s="46">
        <f>'Таблица №9'!J211</f>
        <v>4100</v>
      </c>
      <c r="J205" s="46">
        <f>'Таблица №9'!K211</f>
        <v>6350</v>
      </c>
    </row>
    <row r="206" spans="1:10" ht="25.5" outlineLevel="5">
      <c r="A206" s="51" t="str">
        <f>'Таблица №9'!A212</f>
        <v>Предоставление субсидий бюджетным, автономным учреждениям и иным некоммерческим организациям</v>
      </c>
      <c r="B206" s="47" t="str">
        <f>'Таблица №9'!C212</f>
        <v>0702</v>
      </c>
      <c r="C206" s="47" t="str">
        <f>'Таблица №9'!D212</f>
        <v>55</v>
      </c>
      <c r="D206" s="47">
        <f>'Таблица №9'!E212</f>
        <v>0</v>
      </c>
      <c r="E206" s="47">
        <f>'Таблица №9'!F212</f>
        <v>600</v>
      </c>
      <c r="F206" s="46">
        <f>'Таблица №9'!G212</f>
        <v>0</v>
      </c>
      <c r="G206" s="46">
        <f>'Таблица №9'!H212</f>
        <v>4100</v>
      </c>
      <c r="H206" s="46">
        <f>'Таблица №9'!I212</f>
        <v>1400</v>
      </c>
      <c r="I206" s="46">
        <f>'Таблица №9'!J212</f>
        <v>4100</v>
      </c>
      <c r="J206" s="46">
        <f>'Таблица №9'!K212</f>
        <v>6350</v>
      </c>
    </row>
    <row r="207" spans="1:10" ht="25.5" outlineLevel="5">
      <c r="A207" s="51" t="str">
        <f>'Таблица №9'!A213</f>
        <v>За счет средств на расходы на осуществление социальных гарантий молодым специалистам</v>
      </c>
      <c r="B207" s="47" t="str">
        <f>'Таблица №9'!C213</f>
        <v>0702</v>
      </c>
      <c r="C207" s="47" t="str">
        <f>'Таблица №9'!D213</f>
        <v>55</v>
      </c>
      <c r="D207" s="47">
        <f>'Таблица №9'!E213</f>
        <v>0</v>
      </c>
      <c r="E207" s="47">
        <f>'Таблица №9'!F213</f>
        <v>600</v>
      </c>
      <c r="F207" s="46">
        <f>'Таблица №9'!G213</f>
        <v>0</v>
      </c>
      <c r="G207" s="46">
        <f>'Таблица №9'!H213</f>
        <v>0</v>
      </c>
      <c r="H207" s="46">
        <f>'Таблица №9'!I213</f>
        <v>0</v>
      </c>
      <c r="I207" s="46">
        <f>'Таблица №9'!J213</f>
        <v>0</v>
      </c>
      <c r="J207" s="46">
        <f>'Таблица №9'!K213</f>
        <v>0</v>
      </c>
    </row>
    <row r="208" spans="1:10" ht="12.75" outlineLevel="5">
      <c r="A208" s="51" t="str">
        <f>'Таблица №9'!A214</f>
        <v>Молодежная политика и оздоровление детей</v>
      </c>
      <c r="B208" s="47" t="str">
        <f>'Таблица №9'!C214</f>
        <v>0707</v>
      </c>
      <c r="C208" s="47">
        <f>'Таблица №9'!D214</f>
      </c>
      <c r="D208" s="47">
        <f>'Таблица №9'!E214</f>
      </c>
      <c r="E208" s="47"/>
      <c r="F208" s="46">
        <f>'Таблица №9'!G214</f>
        <v>929.19</v>
      </c>
      <c r="G208" s="46">
        <f>'Таблица №9'!H214</f>
        <v>6661.1900000000005</v>
      </c>
      <c r="H208" s="46">
        <f>'Таблица №9'!I214</f>
        <v>2029.19</v>
      </c>
      <c r="I208" s="46">
        <f>'Таблица №9'!J214</f>
        <v>6361.1900000000005</v>
      </c>
      <c r="J208" s="46">
        <f>'Таблица №9'!K214</f>
        <v>6761.1900000000005</v>
      </c>
    </row>
    <row r="209" spans="1:10" ht="69" customHeight="1" outlineLevel="5">
      <c r="A209" s="51" t="str">
        <f>'Таблица №9'!A215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2015-2017 годы "</v>
      </c>
      <c r="B209" s="47" t="str">
        <f>'Таблица №9'!C215</f>
        <v>0707</v>
      </c>
      <c r="C209" s="47" t="str">
        <f>'Таблица №9'!D215</f>
        <v>07</v>
      </c>
      <c r="D209" s="47">
        <f>'Таблица №9'!E215</f>
        <v>0</v>
      </c>
      <c r="E209" s="47"/>
      <c r="F209" s="46">
        <f>'Таблица №9'!G215</f>
        <v>0</v>
      </c>
      <c r="G209" s="46">
        <f>'Таблица №9'!H215</f>
        <v>300</v>
      </c>
      <c r="H209" s="46">
        <f>'Таблица №9'!I215</f>
        <v>0</v>
      </c>
      <c r="I209" s="46">
        <f>'Таблица №9'!J215</f>
        <v>0</v>
      </c>
      <c r="J209" s="46">
        <f>'Таблица №9'!K215</f>
        <v>0</v>
      </c>
    </row>
    <row r="210" spans="1:10" ht="25.5" outlineLevel="5">
      <c r="A210" s="51" t="str">
        <f>'Таблица №9'!A216</f>
        <v>Подпрограмма "Комплексные меры по противодействию наркомании"</v>
      </c>
      <c r="B210" s="47" t="str">
        <f>'Таблица №9'!C216</f>
        <v>0707</v>
      </c>
      <c r="C210" s="47" t="str">
        <f>'Таблица №9'!D216</f>
        <v>07</v>
      </c>
      <c r="D210" s="47">
        <f>'Таблица №9'!E216</f>
        <v>1</v>
      </c>
      <c r="E210" s="47"/>
      <c r="F210" s="46">
        <f>'Таблица №9'!G216</f>
        <v>0</v>
      </c>
      <c r="G210" s="46">
        <f>'Таблица №9'!H216</f>
        <v>50</v>
      </c>
      <c r="H210" s="46">
        <f>'Таблица №9'!I216</f>
        <v>0</v>
      </c>
      <c r="I210" s="46">
        <f>'Таблица №9'!J216</f>
        <v>0</v>
      </c>
      <c r="J210" s="46">
        <f>'Таблица №9'!K216</f>
        <v>0</v>
      </c>
    </row>
    <row r="211" spans="1:10" ht="25.5" customHeight="1" outlineLevel="5">
      <c r="A211" s="51" t="str">
        <f>'Таблица №9'!A217</f>
        <v>Закупка товаров, работ и услуг для государственных (муниципальных) нужд</v>
      </c>
      <c r="B211" s="47" t="str">
        <f>'Таблица №9'!C217</f>
        <v>0707</v>
      </c>
      <c r="C211" s="47" t="str">
        <f>'Таблица №9'!D217</f>
        <v>07</v>
      </c>
      <c r="D211" s="47">
        <f>'Таблица №9'!E217</f>
        <v>1</v>
      </c>
      <c r="E211" s="47">
        <f>'Таблица №9'!F217</f>
        <v>200</v>
      </c>
      <c r="F211" s="46">
        <f>'Таблица №9'!G217</f>
        <v>0</v>
      </c>
      <c r="G211" s="46">
        <f>'Таблица №9'!H217</f>
        <v>50</v>
      </c>
      <c r="H211" s="46">
        <f>'Таблица №9'!I217</f>
        <v>0</v>
      </c>
      <c r="I211" s="46">
        <f>'Таблица №9'!J217</f>
        <v>0</v>
      </c>
      <c r="J211" s="46">
        <f>'Таблица №9'!K217</f>
        <v>0</v>
      </c>
    </row>
    <row r="212" spans="1:10" ht="25.5" outlineLevel="5">
      <c r="A212" s="51" t="str">
        <f>'Таблица №9'!A218</f>
        <v>Подпрограмма "Реализация мероприятий молодежной политики и социальной адаптации молодежи "</v>
      </c>
      <c r="B212" s="47" t="str">
        <f>'Таблица №9'!C218</f>
        <v>0707</v>
      </c>
      <c r="C212" s="47" t="str">
        <f>'Таблица №9'!D218</f>
        <v>07</v>
      </c>
      <c r="D212" s="47">
        <f>'Таблица №9'!E218</f>
        <v>2</v>
      </c>
      <c r="E212" s="47"/>
      <c r="F212" s="46">
        <f>'Таблица №9'!G218</f>
        <v>0</v>
      </c>
      <c r="G212" s="46">
        <f>'Таблица №9'!H218</f>
        <v>200</v>
      </c>
      <c r="H212" s="46">
        <f>'Таблица №9'!I218</f>
        <v>0</v>
      </c>
      <c r="I212" s="46">
        <f>'Таблица №9'!J218</f>
        <v>0</v>
      </c>
      <c r="J212" s="46">
        <f>'Таблица №9'!K218</f>
        <v>0</v>
      </c>
    </row>
    <row r="213" spans="1:10" ht="27" customHeight="1" outlineLevel="5">
      <c r="A213" s="51" t="str">
        <f>'Таблица №9'!A219</f>
        <v>Закупка товаров, работ и услуг для государственных (муниципальных) нужд</v>
      </c>
      <c r="B213" s="47" t="str">
        <f>'Таблица №9'!C219</f>
        <v>0707</v>
      </c>
      <c r="C213" s="47" t="str">
        <f>'Таблица №9'!D219</f>
        <v>07</v>
      </c>
      <c r="D213" s="47">
        <f>'Таблица №9'!E219</f>
        <v>2</v>
      </c>
      <c r="E213" s="47">
        <f>'Таблица №9'!F219</f>
        <v>200</v>
      </c>
      <c r="F213" s="46">
        <f>'Таблица №9'!G219</f>
        <v>0</v>
      </c>
      <c r="G213" s="46">
        <f>'Таблица №9'!H219</f>
        <v>200</v>
      </c>
      <c r="H213" s="46">
        <f>'Таблица №9'!I219</f>
        <v>0</v>
      </c>
      <c r="I213" s="46">
        <f>'Таблица №9'!J219</f>
        <v>0</v>
      </c>
      <c r="J213" s="46">
        <f>'Таблица №9'!K219</f>
        <v>0</v>
      </c>
    </row>
    <row r="214" spans="1:10" ht="38.25" outlineLevel="5">
      <c r="A214" s="51" t="str">
        <f>'Таблица №9'!A220</f>
        <v>Подпрограмма " Профилактика безнадзорности , правонарушений и неблагополучия несовершеннолетних"</v>
      </c>
      <c r="B214" s="47" t="str">
        <f>'Таблица №9'!C220</f>
        <v>0707</v>
      </c>
      <c r="C214" s="47" t="str">
        <f>'Таблица №9'!D220</f>
        <v>07</v>
      </c>
      <c r="D214" s="47">
        <f>'Таблица №9'!E220</f>
        <v>3</v>
      </c>
      <c r="E214" s="47"/>
      <c r="F214" s="46">
        <f>'Таблица №9'!G220</f>
        <v>0</v>
      </c>
      <c r="G214" s="46">
        <f>'Таблица №9'!H220</f>
        <v>50</v>
      </c>
      <c r="H214" s="46">
        <f>'Таблица №9'!I220</f>
        <v>0</v>
      </c>
      <c r="I214" s="46">
        <f>'Таблица №9'!J220</f>
        <v>0</v>
      </c>
      <c r="J214" s="46">
        <f>'Таблица №9'!K220</f>
        <v>0</v>
      </c>
    </row>
    <row r="215" spans="1:10" ht="24" customHeight="1" outlineLevel="5">
      <c r="A215" s="51" t="str">
        <f>'Таблица №9'!A221</f>
        <v>Закупка товаров, работ и услуг для государственных (муниципальных) нужд</v>
      </c>
      <c r="B215" s="47" t="str">
        <f>'Таблица №9'!C221</f>
        <v>0707</v>
      </c>
      <c r="C215" s="47" t="str">
        <f>'Таблица №9'!D221</f>
        <v>07</v>
      </c>
      <c r="D215" s="47">
        <f>'Таблица №9'!E221</f>
        <v>3</v>
      </c>
      <c r="E215" s="47">
        <f>'Таблица №9'!F221</f>
        <v>200</v>
      </c>
      <c r="F215" s="46">
        <f>'Таблица №9'!G221</f>
        <v>0</v>
      </c>
      <c r="G215" s="46">
        <f>'Таблица №9'!H221</f>
        <v>50</v>
      </c>
      <c r="H215" s="46">
        <f>'Таблица №9'!I221</f>
        <v>0</v>
      </c>
      <c r="I215" s="46">
        <f>'Таблица №9'!J221</f>
        <v>0</v>
      </c>
      <c r="J215" s="46">
        <f>'Таблица №9'!K221</f>
        <v>0</v>
      </c>
    </row>
    <row r="216" spans="1:10" ht="38.25" outlineLevel="5">
      <c r="A216" s="51" t="str">
        <f>'Таблица №9'!A222</f>
        <v>Муниципальная программа "Организация отдыха и оздоровление детей в Алексеевском муниципальном районе Волгоградской области на 2016-2018 годы"</v>
      </c>
      <c r="B216" s="47" t="str">
        <f>'Таблица №9'!C222</f>
        <v>0707</v>
      </c>
      <c r="C216" s="47" t="str">
        <f>'Таблица №9'!D222</f>
        <v>10</v>
      </c>
      <c r="D216" s="47">
        <f>'Таблица №9'!E222</f>
        <v>0</v>
      </c>
      <c r="E216" s="47"/>
      <c r="F216" s="46">
        <f>'Таблица №9'!G222</f>
        <v>100</v>
      </c>
      <c r="G216" s="46">
        <f>'Таблица №9'!H222</f>
        <v>300</v>
      </c>
      <c r="H216" s="46">
        <f>'Таблица №9'!I222</f>
        <v>100</v>
      </c>
      <c r="I216" s="46">
        <f>'Таблица №9'!J222</f>
        <v>300</v>
      </c>
      <c r="J216" s="46">
        <f>'Таблица №9'!K222</f>
        <v>0</v>
      </c>
    </row>
    <row r="217" spans="1:10" ht="27" customHeight="1" outlineLevel="5">
      <c r="A217" s="51" t="str">
        <f>'Таблица №9'!A223</f>
        <v>Закупка товаров, работ и услуг для государственных (муниципальных) нужд</v>
      </c>
      <c r="B217" s="47" t="str">
        <f>'Таблица №9'!C223</f>
        <v>0707</v>
      </c>
      <c r="C217" s="47" t="str">
        <f>'Таблица №9'!D223</f>
        <v>10</v>
      </c>
      <c r="D217" s="47">
        <f>'Таблица №9'!E223</f>
        <v>0</v>
      </c>
      <c r="E217" s="47">
        <f>'Таблица №9'!F223</f>
        <v>200</v>
      </c>
      <c r="F217" s="46">
        <f>'Таблица №9'!G223</f>
        <v>100</v>
      </c>
      <c r="G217" s="46">
        <f>'Таблица №9'!H223</f>
        <v>300</v>
      </c>
      <c r="H217" s="46">
        <f>'Таблица №9'!I223</f>
        <v>100</v>
      </c>
      <c r="I217" s="46">
        <f>'Таблица №9'!J223</f>
        <v>300</v>
      </c>
      <c r="J217" s="46">
        <f>'Таблица №9'!K223</f>
        <v>0</v>
      </c>
    </row>
    <row r="218" spans="1:10" ht="38.25" outlineLevel="5">
      <c r="A218" s="51" t="str">
        <f>'Таблица №9'!A224</f>
        <v>Ведомственная целевая программа "Молодежная политика  на территории Алексеевского муниципального района на 2016-2018 годы" (СДЦ)</v>
      </c>
      <c r="B218" s="47" t="str">
        <f>'Таблица №9'!C224</f>
        <v>0707</v>
      </c>
      <c r="C218" s="47" t="str">
        <f>'Таблица №9'!D224</f>
        <v>56</v>
      </c>
      <c r="D218" s="47">
        <f>'Таблица №9'!E224</f>
        <v>0</v>
      </c>
      <c r="E218" s="47"/>
      <c r="F218" s="46">
        <f>'Таблица №9'!G224</f>
        <v>0</v>
      </c>
      <c r="G218" s="46">
        <f>'Таблица №9'!H224</f>
        <v>3100</v>
      </c>
      <c r="H218" s="46">
        <f>'Таблица №9'!I224</f>
        <v>1100</v>
      </c>
      <c r="I218" s="46">
        <f>'Таблица №9'!J224</f>
        <v>3100</v>
      </c>
      <c r="J218" s="46">
        <f>'Таблица №9'!K224</f>
        <v>3800</v>
      </c>
    </row>
    <row r="219" spans="1:10" ht="31.5" customHeight="1" outlineLevel="5">
      <c r="A219" s="51" t="str">
        <f>'Таблица №9'!A225</f>
        <v>Предоставление субсидий бюджетным, автономным учреждениям и иным некоммерческим организациям</v>
      </c>
      <c r="B219" s="47" t="str">
        <f>'Таблица №9'!C225</f>
        <v>0707</v>
      </c>
      <c r="C219" s="47" t="str">
        <f>'Таблица №9'!D225</f>
        <v>56</v>
      </c>
      <c r="D219" s="47">
        <f>'Таблица №9'!E225</f>
        <v>0</v>
      </c>
      <c r="E219" s="47">
        <f>'Таблица №9'!F225</f>
        <v>600</v>
      </c>
      <c r="F219" s="46">
        <f>'Таблица №9'!G225</f>
        <v>0</v>
      </c>
      <c r="G219" s="46">
        <f>'Таблица №9'!H225</f>
        <v>3100</v>
      </c>
      <c r="H219" s="46">
        <f>'Таблица №9'!I225</f>
        <v>1100</v>
      </c>
      <c r="I219" s="46">
        <f>'Таблица №9'!J225</f>
        <v>3100</v>
      </c>
      <c r="J219" s="46">
        <f>'Таблица №9'!K225</f>
        <v>3800</v>
      </c>
    </row>
    <row r="220" spans="1:10" ht="63.75" outlineLevel="5">
      <c r="A220" s="51" t="str">
        <f>'Таблица №9'!A226</f>
        <v>Ведомственная целевая программа "Организация отдыха и оздоровление детей на базе муниципального бюджетного учреждения Алексеевского муниципального детского оздоровительного лагеря "Сосенка" на 2016-2018 годы" </v>
      </c>
      <c r="B220" s="47" t="str">
        <f>'Таблица №9'!C226</f>
        <v>0707</v>
      </c>
      <c r="C220" s="47" t="str">
        <f>'Таблица №9'!D226</f>
        <v>57</v>
      </c>
      <c r="D220" s="47">
        <f>'Таблица №9'!E226</f>
        <v>0</v>
      </c>
      <c r="E220" s="47"/>
      <c r="F220" s="46">
        <f>'Таблица №9'!G226</f>
        <v>0</v>
      </c>
      <c r="G220" s="46">
        <f>'Таблица №9'!H226</f>
        <v>1600</v>
      </c>
      <c r="H220" s="46">
        <f>'Таблица №9'!I226</f>
        <v>0</v>
      </c>
      <c r="I220" s="46">
        <f>'Таблица №9'!J226</f>
        <v>1600</v>
      </c>
      <c r="J220" s="46">
        <f>'Таблица №9'!K226</f>
        <v>1600</v>
      </c>
    </row>
    <row r="221" spans="1:10" ht="33" customHeight="1" outlineLevel="5">
      <c r="A221" s="51" t="str">
        <f>'Таблица №9'!A227</f>
        <v>Предоставление субсидий бюджетным, автономным учреждениям и иным некоммерческим организациям</v>
      </c>
      <c r="B221" s="47" t="str">
        <f>'Таблица №9'!C227</f>
        <v>0707</v>
      </c>
      <c r="C221" s="47" t="str">
        <f>'Таблица №9'!D227</f>
        <v>57</v>
      </c>
      <c r="D221" s="47">
        <f>'Таблица №9'!E227</f>
        <v>0</v>
      </c>
      <c r="E221" s="47">
        <f>'Таблица №9'!F227</f>
        <v>600</v>
      </c>
      <c r="F221" s="46">
        <f>'Таблица №9'!G227</f>
        <v>0</v>
      </c>
      <c r="G221" s="46">
        <f>'Таблица №9'!H227</f>
        <v>1600</v>
      </c>
      <c r="H221" s="46">
        <f>'Таблица №9'!I227</f>
        <v>0</v>
      </c>
      <c r="I221" s="46">
        <f>'Таблица №9'!J227</f>
        <v>1600</v>
      </c>
      <c r="J221" s="46">
        <f>'Таблица №9'!K227</f>
        <v>1600</v>
      </c>
    </row>
    <row r="222" spans="1:10" ht="42" customHeight="1" outlineLevel="5">
      <c r="A222" s="51" t="str">
        <f>'Таблица №9'!A228</f>
        <v>Субсидия на обеспечение полномочий органов местного самоуправления Волгоградской области по организации отдыха детей в каникулярное время</v>
      </c>
      <c r="B222" s="47" t="str">
        <f>'Таблица №9'!C228</f>
        <v>0707</v>
      </c>
      <c r="C222" s="47" t="str">
        <f>'Таблица №9'!D228</f>
        <v>57</v>
      </c>
      <c r="D222" s="47">
        <f>'Таблица №9'!E228</f>
        <v>0</v>
      </c>
      <c r="E222" s="47">
        <f>'Таблица №9'!F228</f>
        <v>600</v>
      </c>
      <c r="F222" s="46">
        <f>'Таблица №9'!G228</f>
        <v>0</v>
      </c>
      <c r="G222" s="46">
        <f>'Таблица №9'!H228</f>
        <v>0</v>
      </c>
      <c r="H222" s="46">
        <f>'Таблица №9'!I228</f>
        <v>0</v>
      </c>
      <c r="I222" s="46">
        <f>'Таблица №9'!J228</f>
        <v>0</v>
      </c>
      <c r="J222" s="46">
        <f>'Таблица №9'!K228</f>
        <v>0</v>
      </c>
    </row>
    <row r="223" spans="1:10" ht="18" customHeight="1" outlineLevel="5">
      <c r="A223" s="51" t="str">
        <f>'Таблица №9'!A229</f>
        <v>Организация отдыха детей в лагерях дневного пребывания</v>
      </c>
      <c r="B223" s="47" t="str">
        <f>'Таблица №9'!C229</f>
        <v>0707</v>
      </c>
      <c r="C223" s="47" t="str">
        <f>'Таблица №9'!D229</f>
        <v>99</v>
      </c>
      <c r="D223" s="47"/>
      <c r="E223" s="47"/>
      <c r="F223" s="46">
        <f>'Таблица №9'!G229</f>
        <v>829.19</v>
      </c>
      <c r="G223" s="46">
        <f>'Таблица №9'!H229</f>
        <v>1361.1900000000003</v>
      </c>
      <c r="H223" s="46">
        <f>'Таблица №9'!I229</f>
        <v>829.19</v>
      </c>
      <c r="I223" s="46">
        <f>'Таблица №9'!J229</f>
        <v>1361.1900000000003</v>
      </c>
      <c r="J223" s="46">
        <f>'Таблица №9'!K229</f>
        <v>1361.19</v>
      </c>
    </row>
    <row r="224" spans="1:10" ht="29.25" customHeight="1" outlineLevel="5">
      <c r="A224" s="51" t="str">
        <f>'Таблица №9'!A230</f>
        <v>Непрограммные расходы органов местного самоуправления Алексеевского муниципального района</v>
      </c>
      <c r="B224" s="47" t="str">
        <f>'Таблица №9'!C230</f>
        <v>0707</v>
      </c>
      <c r="C224" s="47" t="str">
        <f>'Таблица №9'!D230</f>
        <v>99</v>
      </c>
      <c r="D224" s="47"/>
      <c r="E224" s="47"/>
      <c r="F224" s="46">
        <f>'Таблица №9'!G230</f>
        <v>829.19</v>
      </c>
      <c r="G224" s="46">
        <f>'Таблица №9'!H230</f>
        <v>1361.1900000000003</v>
      </c>
      <c r="H224" s="46">
        <f>'Таблица №9'!I230</f>
        <v>829.19</v>
      </c>
      <c r="I224" s="46">
        <f>'Таблица №9'!J230</f>
        <v>1361.1900000000003</v>
      </c>
      <c r="J224" s="46">
        <f>'Таблица №9'!K230</f>
        <v>1361.19</v>
      </c>
    </row>
    <row r="225" spans="1:10" ht="39.75" customHeight="1" outlineLevel="5">
      <c r="A225" s="51" t="str">
        <f>'Таблица №9'!A231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25" s="47" t="str">
        <f>'Таблица №9'!C231</f>
        <v>0707</v>
      </c>
      <c r="C225" s="47" t="str">
        <f>'Таблица №9'!D231</f>
        <v>99</v>
      </c>
      <c r="D225" s="47">
        <f>'Таблица №9'!E231</f>
        <v>0</v>
      </c>
      <c r="E225" s="47">
        <f>'Таблица №9'!F231</f>
        <v>600</v>
      </c>
      <c r="F225" s="46">
        <f>'Таблица №9'!G231</f>
        <v>789.7</v>
      </c>
      <c r="G225" s="46">
        <f>'Таблица №9'!H231</f>
        <v>1296.3000000000002</v>
      </c>
      <c r="H225" s="46">
        <f>'Таблица №9'!I231</f>
        <v>789.7</v>
      </c>
      <c r="I225" s="46">
        <f>'Таблица №9'!J231</f>
        <v>1296.3000000000002</v>
      </c>
      <c r="J225" s="46">
        <f>'Таблица №9'!K231</f>
        <v>1296.3</v>
      </c>
    </row>
    <row r="226" spans="1:10" ht="31.5" customHeight="1" outlineLevel="5">
      <c r="A226" s="51" t="str">
        <f>'Таблица №9'!A232</f>
        <v>Предоставление субсидий бюджетным, автономным учреждениям и иным некоммерческим организациям</v>
      </c>
      <c r="B226" s="47" t="str">
        <f>'Таблица №9'!C232</f>
        <v>0707</v>
      </c>
      <c r="C226" s="47" t="str">
        <f>'Таблица №9'!D232</f>
        <v>99</v>
      </c>
      <c r="D226" s="47">
        <f>'Таблица №9'!E232</f>
        <v>0</v>
      </c>
      <c r="E226" s="47">
        <f>'Таблица №9'!F232</f>
        <v>600</v>
      </c>
      <c r="F226" s="46">
        <f>'Таблица №9'!G232</f>
        <v>39.49</v>
      </c>
      <c r="G226" s="46">
        <f>'Таблица №9'!H232</f>
        <v>64.89</v>
      </c>
      <c r="H226" s="46">
        <f>'Таблица №9'!I232</f>
        <v>39.49</v>
      </c>
      <c r="I226" s="46">
        <f>'Таблица №9'!J232</f>
        <v>64.89</v>
      </c>
      <c r="J226" s="46">
        <f>'Таблица №9'!K232</f>
        <v>64.89</v>
      </c>
    </row>
    <row r="227" spans="1:10" ht="12.75" outlineLevel="5">
      <c r="A227" s="51" t="str">
        <f>'Таблица №9'!A233</f>
        <v>Другие вопросы в области образования</v>
      </c>
      <c r="B227" s="47" t="str">
        <f>'Таблица №9'!C233</f>
        <v>0709</v>
      </c>
      <c r="C227" s="47"/>
      <c r="D227" s="47"/>
      <c r="E227" s="47"/>
      <c r="F227" s="46">
        <f>'Таблица №9'!G233</f>
        <v>25</v>
      </c>
      <c r="G227" s="46">
        <f>'Таблица №9'!H233</f>
        <v>650</v>
      </c>
      <c r="H227" s="46">
        <f>'Таблица №9'!I233</f>
        <v>25</v>
      </c>
      <c r="I227" s="46">
        <f>'Таблица №9'!J233</f>
        <v>650</v>
      </c>
      <c r="J227" s="46">
        <f>'Таблица №9'!K233</f>
        <v>625</v>
      </c>
    </row>
    <row r="228" spans="1:10" ht="80.25" customHeight="1" outlineLevel="5">
      <c r="A228" s="51" t="str">
        <f>'Таблица №9'!A234</f>
        <v>Муниципальная программа 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2016-2018 годы"</v>
      </c>
      <c r="B228" s="47" t="str">
        <f>'Таблица №9'!C234</f>
        <v>0709</v>
      </c>
      <c r="C228" s="47" t="str">
        <f>'Таблица №9'!D234</f>
        <v>08</v>
      </c>
      <c r="D228" s="47">
        <f>'Таблица №9'!E234</f>
        <v>0</v>
      </c>
      <c r="E228" s="47"/>
      <c r="F228" s="46">
        <f>'Таблица №9'!G234</f>
        <v>25</v>
      </c>
      <c r="G228" s="46">
        <f>'Таблица №9'!H234</f>
        <v>25</v>
      </c>
      <c r="H228" s="46">
        <f>'Таблица №9'!I234</f>
        <v>25</v>
      </c>
      <c r="I228" s="46">
        <f>'Таблица №9'!J234</f>
        <v>25</v>
      </c>
      <c r="J228" s="46">
        <f>'Таблица №9'!K234</f>
        <v>0</v>
      </c>
    </row>
    <row r="229" spans="1:10" ht="19.5" customHeight="1" outlineLevel="5">
      <c r="A229" s="51" t="str">
        <f>'Таблица №9'!A235</f>
        <v>Социальное обеспечение и иные выплаты населению</v>
      </c>
      <c r="B229" s="47" t="str">
        <f>'Таблица №9'!C235</f>
        <v>0709</v>
      </c>
      <c r="C229" s="47" t="str">
        <f>'Таблица №9'!D235</f>
        <v>08</v>
      </c>
      <c r="D229" s="47">
        <f>'Таблица №9'!E235</f>
        <v>0</v>
      </c>
      <c r="E229" s="47" t="s">
        <v>153</v>
      </c>
      <c r="F229" s="46">
        <f>'Таблица №9'!G235</f>
        <v>25</v>
      </c>
      <c r="G229" s="46">
        <f>'Таблица №9'!H235</f>
        <v>25</v>
      </c>
      <c r="H229" s="46">
        <f>'Таблица №9'!I235</f>
        <v>25</v>
      </c>
      <c r="I229" s="46">
        <f>'Таблица №9'!J235</f>
        <v>25</v>
      </c>
      <c r="J229" s="46">
        <f>'Таблица №9'!K235</f>
        <v>0</v>
      </c>
    </row>
    <row r="230" spans="1:10" ht="51" outlineLevel="5">
      <c r="A230" s="51" t="str">
        <f>'Таблица №9'!A236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 на 2016-2018 годы" </v>
      </c>
      <c r="B230" s="47" t="str">
        <f>'Таблица №9'!C236</f>
        <v>0709</v>
      </c>
      <c r="C230" s="47" t="str">
        <f>'Таблица №9'!D236</f>
        <v>58</v>
      </c>
      <c r="D230" s="47">
        <f>'Таблица №9'!E236</f>
        <v>0</v>
      </c>
      <c r="E230" s="47"/>
      <c r="F230" s="46">
        <f>'Таблица №9'!G236</f>
        <v>0</v>
      </c>
      <c r="G230" s="46">
        <f>'Таблица №9'!H236</f>
        <v>625</v>
      </c>
      <c r="H230" s="46">
        <f>'Таблица №9'!I236</f>
        <v>0</v>
      </c>
      <c r="I230" s="46">
        <f>'Таблица №9'!J236</f>
        <v>625</v>
      </c>
      <c r="J230" s="46">
        <f>'Таблица №9'!K236</f>
        <v>625</v>
      </c>
    </row>
    <row r="231" spans="1:10" ht="63.75" outlineLevel="2">
      <c r="A231" s="51" t="str">
        <f>'Таблица №9'!A237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1" s="47" t="str">
        <f>'Таблица №9'!C237</f>
        <v>0709</v>
      </c>
      <c r="C231" s="47" t="str">
        <f>'Таблица №9'!D237</f>
        <v>58</v>
      </c>
      <c r="D231" s="47">
        <f>'Таблица №9'!E237</f>
        <v>0</v>
      </c>
      <c r="E231" s="47">
        <f>'Таблица №9'!F237</f>
        <v>100</v>
      </c>
      <c r="F231" s="46">
        <f>'Таблица №9'!G237</f>
        <v>0</v>
      </c>
      <c r="G231" s="46">
        <f>'Таблица №9'!H237</f>
        <v>600</v>
      </c>
      <c r="H231" s="46">
        <f>'Таблица №9'!I237</f>
        <v>0</v>
      </c>
      <c r="I231" s="46">
        <f>'Таблица №9'!J237</f>
        <v>600</v>
      </c>
      <c r="J231" s="46">
        <f>'Таблица №9'!K237</f>
        <v>600</v>
      </c>
    </row>
    <row r="232" spans="1:10" ht="25.5" outlineLevel="3">
      <c r="A232" s="51" t="str">
        <f>'Таблица №9'!A238</f>
        <v>Закупка товаров, работ и услуг для государственных (муниципальных) нужд</v>
      </c>
      <c r="B232" s="47" t="str">
        <f>'Таблица №9'!C238</f>
        <v>0709</v>
      </c>
      <c r="C232" s="47" t="str">
        <f>'Таблица №9'!D238</f>
        <v>58</v>
      </c>
      <c r="D232" s="47">
        <f>'Таблица №9'!E238</f>
        <v>0</v>
      </c>
      <c r="E232" s="47">
        <f>'Таблица №9'!F238</f>
        <v>200</v>
      </c>
      <c r="F232" s="46">
        <f>'Таблица №9'!G238</f>
        <v>0</v>
      </c>
      <c r="G232" s="46">
        <f>'Таблица №9'!H238</f>
        <v>24.8</v>
      </c>
      <c r="H232" s="46">
        <f>'Таблица №9'!I238</f>
        <v>0</v>
      </c>
      <c r="I232" s="46">
        <f>'Таблица №9'!J238</f>
        <v>24.8</v>
      </c>
      <c r="J232" s="46">
        <f>'Таблица №9'!K238</f>
        <v>24.8</v>
      </c>
    </row>
    <row r="233" spans="1:10" ht="12.75" outlineLevel="3">
      <c r="A233" s="51" t="str">
        <f>'Таблица №9'!A239</f>
        <v>Иные бюджетные ассигнования</v>
      </c>
      <c r="B233" s="47" t="str">
        <f>'Таблица №9'!C239</f>
        <v>0709</v>
      </c>
      <c r="C233" s="47" t="str">
        <f>'Таблица №9'!D239</f>
        <v>58</v>
      </c>
      <c r="D233" s="47">
        <f>'Таблица №9'!E239</f>
        <v>0</v>
      </c>
      <c r="E233" s="47">
        <f>'Таблица №9'!F239</f>
        <v>800</v>
      </c>
      <c r="F233" s="46">
        <f>'Таблица №9'!G239</f>
        <v>0</v>
      </c>
      <c r="G233" s="46">
        <f>'Таблица №9'!H239</f>
        <v>0.2</v>
      </c>
      <c r="H233" s="46">
        <f>'Таблица №9'!I239</f>
        <v>0</v>
      </c>
      <c r="I233" s="46">
        <f>'Таблица №9'!J239</f>
        <v>0.2</v>
      </c>
      <c r="J233" s="46">
        <f>'Таблица №9'!K239</f>
        <v>0.2</v>
      </c>
    </row>
    <row r="234" spans="1:10" ht="15" customHeight="1" outlineLevel="3">
      <c r="A234" s="51" t="str">
        <f>'Таблица №9'!A240</f>
        <v>Культура, кинематография </v>
      </c>
      <c r="B234" s="47" t="str">
        <f>'Таблица №9'!C240</f>
        <v>0800</v>
      </c>
      <c r="C234" s="47"/>
      <c r="D234" s="47"/>
      <c r="E234" s="47"/>
      <c r="F234" s="46">
        <f>'Таблица №9'!G240</f>
        <v>-50</v>
      </c>
      <c r="G234" s="46">
        <f>'Таблица №9'!H240</f>
        <v>10550</v>
      </c>
      <c r="H234" s="46">
        <f>'Таблица №9'!I240</f>
        <v>3550</v>
      </c>
      <c r="I234" s="46">
        <f>'Таблица №9'!J240</f>
        <v>10550</v>
      </c>
      <c r="J234" s="46">
        <f>'Таблица №9'!K240</f>
        <v>11900</v>
      </c>
    </row>
    <row r="235" spans="1:10" ht="42" customHeight="1" outlineLevel="3">
      <c r="A235" s="51" t="str">
        <f>'Таблица №9'!A241</f>
        <v>Муниципальная программа  «Развитие народных художественных промыслов Алексеевского  муниципального района на 2016-2018 годы»</v>
      </c>
      <c r="B235" s="47" t="str">
        <f>'Таблица №9'!C241</f>
        <v>0801</v>
      </c>
      <c r="C235" s="47" t="str">
        <f>'Таблица №9'!D241</f>
        <v>12</v>
      </c>
      <c r="D235" s="47">
        <f>'Таблица №9'!E241</f>
        <v>0</v>
      </c>
      <c r="E235" s="47"/>
      <c r="F235" s="46">
        <f>'Таблица №9'!G241</f>
        <v>0</v>
      </c>
      <c r="G235" s="46">
        <f>'Таблица №9'!H241</f>
        <v>100</v>
      </c>
      <c r="H235" s="46">
        <f>'Таблица №9'!I241</f>
        <v>0</v>
      </c>
      <c r="I235" s="46">
        <f>'Таблица №9'!J241</f>
        <v>100</v>
      </c>
      <c r="J235" s="46">
        <f>'Таблица №9'!K241</f>
        <v>0</v>
      </c>
    </row>
    <row r="236" spans="1:10" ht="35.25" customHeight="1" outlineLevel="3">
      <c r="A236" s="51" t="str">
        <f>'Таблица №9'!A242</f>
        <v>Предоставление субсидий бюджетным, автономным учреждениям и иным некоммерческим организациям</v>
      </c>
      <c r="B236" s="47" t="str">
        <f>'Таблица №9'!C242</f>
        <v>0801</v>
      </c>
      <c r="C236" s="47" t="str">
        <f>'Таблица №9'!D242</f>
        <v>12</v>
      </c>
      <c r="D236" s="47">
        <f>'Таблица №9'!E242</f>
        <v>0</v>
      </c>
      <c r="E236" s="47">
        <f>'Таблица №9'!F242</f>
        <v>600</v>
      </c>
      <c r="F236" s="46">
        <f>'Таблица №9'!G242</f>
        <v>0</v>
      </c>
      <c r="G236" s="46">
        <f>'Таблица №9'!H242</f>
        <v>100</v>
      </c>
      <c r="H236" s="46">
        <f>'Таблица №9'!I242</f>
        <v>0</v>
      </c>
      <c r="I236" s="46">
        <f>'Таблица №9'!J242</f>
        <v>100</v>
      </c>
      <c r="J236" s="46">
        <f>'Таблица №9'!K242</f>
        <v>0</v>
      </c>
    </row>
    <row r="237" spans="1:10" ht="43.5" customHeight="1" outlineLevel="3">
      <c r="A237" s="51" t="str">
        <f>'Таблица №9'!A243</f>
        <v>Муниципальная программа "О поддержке деятельности казачьих обществ  Алексеевского муниципального района на 2016-2018 годы"</v>
      </c>
      <c r="B237" s="47" t="str">
        <f>'Таблица №9'!C243</f>
        <v>0801</v>
      </c>
      <c r="C237" s="47" t="str">
        <f>'Таблица №9'!D243</f>
        <v>13</v>
      </c>
      <c r="D237" s="47">
        <f>'Таблица №9'!E243</f>
        <v>0</v>
      </c>
      <c r="E237" s="47"/>
      <c r="F237" s="46">
        <f>'Таблица №9'!G243</f>
        <v>-50</v>
      </c>
      <c r="G237" s="46">
        <f>'Таблица №9'!H243</f>
        <v>150</v>
      </c>
      <c r="H237" s="46">
        <f>'Таблица №9'!I243</f>
        <v>-50</v>
      </c>
      <c r="I237" s="46">
        <f>'Таблица №9'!J243</f>
        <v>150</v>
      </c>
      <c r="J237" s="46">
        <f>'Таблица №9'!K243</f>
        <v>0</v>
      </c>
    </row>
    <row r="238" spans="1:10" ht="36" customHeight="1" outlineLevel="3">
      <c r="A238" s="51" t="str">
        <f>'Таблица №9'!A244</f>
        <v>Предоставление субсидий бюджетным, автономным учреждениям и иным некоммерческим организациям</v>
      </c>
      <c r="B238" s="47" t="str">
        <f>'Таблица №9'!C244</f>
        <v>0801</v>
      </c>
      <c r="C238" s="47" t="str">
        <f>'Таблица №9'!D244</f>
        <v>13</v>
      </c>
      <c r="D238" s="47">
        <f>'Таблица №9'!E244</f>
        <v>0</v>
      </c>
      <c r="E238" s="47">
        <f>'Таблица №9'!F244</f>
        <v>600</v>
      </c>
      <c r="F238" s="46">
        <f>'Таблица №9'!G244</f>
        <v>-50</v>
      </c>
      <c r="G238" s="46">
        <f>'Таблица №9'!H244</f>
        <v>150</v>
      </c>
      <c r="H238" s="46">
        <f>'Таблица №9'!I244</f>
        <v>-50</v>
      </c>
      <c r="I238" s="46">
        <f>'Таблица №9'!J244</f>
        <v>150</v>
      </c>
      <c r="J238" s="46">
        <f>'Таблица №9'!K244</f>
        <v>0</v>
      </c>
    </row>
    <row r="239" spans="1:10" ht="44.25" customHeight="1" outlineLevel="3">
      <c r="A239" s="51" t="str">
        <f>'Таблица №9'!A245</f>
        <v>Ведомственная целевая программа "Развитие культуры и искусства в Алексеевском муниципальном районе на 2016-2018 годы"</v>
      </c>
      <c r="B239" s="47" t="str">
        <f>'Таблица №9'!C245</f>
        <v>0800</v>
      </c>
      <c r="C239" s="47" t="str">
        <f>'Таблица №9'!D245</f>
        <v>59</v>
      </c>
      <c r="D239" s="47">
        <f>'Таблица №9'!E245</f>
        <v>0</v>
      </c>
      <c r="E239" s="47"/>
      <c r="F239" s="46">
        <f>'Таблица №9'!G245</f>
        <v>0</v>
      </c>
      <c r="G239" s="46">
        <f>'Таблица №9'!H245</f>
        <v>10300</v>
      </c>
      <c r="H239" s="46">
        <f>'Таблица №9'!I245</f>
        <v>3600</v>
      </c>
      <c r="I239" s="46">
        <f>'Таблица №9'!J245</f>
        <v>10300</v>
      </c>
      <c r="J239" s="46">
        <f>'Таблица №9'!K245</f>
        <v>11900</v>
      </c>
    </row>
    <row r="240" spans="1:10" ht="15" customHeight="1" outlineLevel="3">
      <c r="A240" s="51" t="str">
        <f>'Таблица №9'!A246</f>
        <v>Дворцы и дома культуры, другие учреждения культуры</v>
      </c>
      <c r="B240" s="47" t="str">
        <f>'Таблица №9'!C246</f>
        <v>0801</v>
      </c>
      <c r="C240" s="47" t="str">
        <f>'Таблица №9'!D246</f>
        <v>59</v>
      </c>
      <c r="D240" s="47">
        <f>'Таблица №9'!E246</f>
        <v>0</v>
      </c>
      <c r="E240" s="47"/>
      <c r="F240" s="46">
        <f>'Таблица №9'!G246</f>
        <v>0</v>
      </c>
      <c r="G240" s="46">
        <f>'Таблица №9'!H246</f>
        <v>7214</v>
      </c>
      <c r="H240" s="46">
        <f>'Таблица №9'!I246</f>
        <v>2535</v>
      </c>
      <c r="I240" s="46">
        <f>'Таблица №9'!J246</f>
        <v>7214</v>
      </c>
      <c r="J240" s="46">
        <f>'Таблица №9'!K246</f>
        <v>8300</v>
      </c>
    </row>
    <row r="241" spans="1:10" ht="34.5" customHeight="1" outlineLevel="1">
      <c r="A241" s="51" t="str">
        <f>'Таблица №9'!A247</f>
        <v>Предоставление субсидий бюджетным, автономным учреждениям и иным некоммерческим организациям</v>
      </c>
      <c r="B241" s="47" t="str">
        <f>'Таблица №9'!C247</f>
        <v>0801</v>
      </c>
      <c r="C241" s="47" t="str">
        <f>'Таблица №9'!D247</f>
        <v>59</v>
      </c>
      <c r="D241" s="47">
        <f>'Таблица №9'!E247</f>
        <v>0</v>
      </c>
      <c r="E241" s="47">
        <f>'Таблица №9'!F247</f>
        <v>600</v>
      </c>
      <c r="F241" s="46">
        <f>'Таблица №9'!G247</f>
        <v>0</v>
      </c>
      <c r="G241" s="46">
        <f>'Таблица №9'!H247</f>
        <v>7214</v>
      </c>
      <c r="H241" s="46">
        <f>'Таблица №9'!I247</f>
        <v>2535</v>
      </c>
      <c r="I241" s="46">
        <f>'Таблица №9'!J247</f>
        <v>7214</v>
      </c>
      <c r="J241" s="46">
        <f>'Таблица №9'!K247</f>
        <v>8300</v>
      </c>
    </row>
    <row r="242" spans="1:10" ht="31.5" customHeight="1" outlineLevel="2">
      <c r="A242" s="51" t="str">
        <f>'Таблица №9'!A248</f>
        <v>За счет средств на расходы на осуществление социальных гарантий молодым специалистам</v>
      </c>
      <c r="B242" s="47" t="str">
        <f>'Таблица №9'!C248</f>
        <v>0801</v>
      </c>
      <c r="C242" s="47" t="str">
        <f>'Таблица №9'!D248</f>
        <v>59</v>
      </c>
      <c r="D242" s="47">
        <f>'Таблица №9'!E248</f>
        <v>0</v>
      </c>
      <c r="E242" s="47">
        <f>'Таблица №9'!F248</f>
        <v>600</v>
      </c>
      <c r="F242" s="46">
        <f>'Таблица №9'!G248</f>
        <v>0</v>
      </c>
      <c r="G242" s="46">
        <f>'Таблица №9'!H248</f>
        <v>0</v>
      </c>
      <c r="H242" s="46">
        <f>'Таблица №9'!I248</f>
        <v>0</v>
      </c>
      <c r="I242" s="46">
        <f>'Таблица №9'!J248</f>
        <v>0</v>
      </c>
      <c r="J242" s="46">
        <f>'Таблица №9'!K248</f>
        <v>0</v>
      </c>
    </row>
    <row r="243" spans="1:10" ht="21" customHeight="1" outlineLevel="3">
      <c r="A243" s="51" t="str">
        <f>'Таблица №9'!A249</f>
        <v>Музей</v>
      </c>
      <c r="B243" s="47" t="str">
        <f>'Таблица №9'!C249</f>
        <v>0801</v>
      </c>
      <c r="C243" s="47" t="str">
        <f>'Таблица №9'!D249</f>
        <v>59</v>
      </c>
      <c r="D243" s="47">
        <f>'Таблица №9'!E249</f>
        <v>0</v>
      </c>
      <c r="E243" s="47"/>
      <c r="F243" s="46">
        <f>'Таблица №9'!G249</f>
        <v>0</v>
      </c>
      <c r="G243" s="46">
        <f>'Таблица №9'!H249</f>
        <v>862</v>
      </c>
      <c r="H243" s="46">
        <f>'Таблица №9'!I249</f>
        <v>298</v>
      </c>
      <c r="I243" s="46">
        <f>'Таблица №9'!J249</f>
        <v>862</v>
      </c>
      <c r="J243" s="46">
        <f>'Таблица №9'!K249</f>
        <v>922</v>
      </c>
    </row>
    <row r="244" spans="1:10" ht="34.5" customHeight="1" outlineLevel="3">
      <c r="A244" s="51" t="str">
        <f>'Таблица №9'!A250</f>
        <v>Предоставление субсидий бюджетным, автономным учреждениям и иным некоммерческим организациям</v>
      </c>
      <c r="B244" s="47" t="str">
        <f>'Таблица №9'!C250</f>
        <v>0801</v>
      </c>
      <c r="C244" s="47" t="str">
        <f>'Таблица №9'!D250</f>
        <v>59</v>
      </c>
      <c r="D244" s="47">
        <f>'Таблица №9'!E250</f>
        <v>0</v>
      </c>
      <c r="E244" s="47">
        <f>'Таблица №9'!F250</f>
        <v>600</v>
      </c>
      <c r="F244" s="46">
        <f>'Таблица №9'!G250</f>
        <v>0</v>
      </c>
      <c r="G244" s="46">
        <f>'Таблица №9'!H250</f>
        <v>862</v>
      </c>
      <c r="H244" s="46">
        <f>'Таблица №9'!I250</f>
        <v>298</v>
      </c>
      <c r="I244" s="46">
        <f>'Таблица №9'!J250</f>
        <v>862</v>
      </c>
      <c r="J244" s="46">
        <f>'Таблица №9'!K250</f>
        <v>922</v>
      </c>
    </row>
    <row r="245" spans="1:10" ht="18.75" customHeight="1" outlineLevel="3">
      <c r="A245" s="51" t="str">
        <f>'Таблица №9'!A251</f>
        <v>Библиотеки</v>
      </c>
      <c r="B245" s="47" t="str">
        <f>'Таблица №9'!C251</f>
        <v>0801</v>
      </c>
      <c r="C245" s="47" t="str">
        <f>'Таблица №9'!D251</f>
        <v>59</v>
      </c>
      <c r="D245" s="47">
        <f>'Таблица №9'!E251</f>
        <v>0</v>
      </c>
      <c r="E245" s="47"/>
      <c r="F245" s="46">
        <f>'Таблица №9'!G251</f>
        <v>0</v>
      </c>
      <c r="G245" s="46">
        <f>'Таблица №9'!H251</f>
        <v>1069</v>
      </c>
      <c r="H245" s="46">
        <f>'Таблица №9'!I251</f>
        <v>369</v>
      </c>
      <c r="I245" s="46">
        <f>'Таблица №9'!J251</f>
        <v>1069</v>
      </c>
      <c r="J245" s="46">
        <f>'Таблица №9'!K251</f>
        <v>1278</v>
      </c>
    </row>
    <row r="246" spans="1:10" ht="31.5" customHeight="1" outlineLevel="3">
      <c r="A246" s="51" t="str">
        <f>'Таблица №9'!A252</f>
        <v>Предоставление субсидий бюджетным, автономным учреждениям и иным некоммерческим организациям</v>
      </c>
      <c r="B246" s="47" t="str">
        <f>'Таблица №9'!C252</f>
        <v>0801</v>
      </c>
      <c r="C246" s="47" t="str">
        <f>'Таблица №9'!D252</f>
        <v>59</v>
      </c>
      <c r="D246" s="47">
        <f>'Таблица №9'!E252</f>
        <v>0</v>
      </c>
      <c r="E246" s="47">
        <f>'Таблица №9'!F252</f>
        <v>600</v>
      </c>
      <c r="F246" s="46">
        <f>'Таблица №9'!G252</f>
        <v>0</v>
      </c>
      <c r="G246" s="46">
        <f>'Таблица №9'!H252</f>
        <v>1069</v>
      </c>
      <c r="H246" s="46">
        <f>'Таблица №9'!I252</f>
        <v>369</v>
      </c>
      <c r="I246" s="46">
        <f>'Таблица №9'!J252</f>
        <v>1069</v>
      </c>
      <c r="J246" s="46">
        <f>'Таблица №9'!K252</f>
        <v>1278</v>
      </c>
    </row>
    <row r="247" spans="1:10" ht="28.5" customHeight="1" outlineLevel="1">
      <c r="A247" s="51" t="str">
        <f>'Таблица №9'!A253</f>
        <v>Мероприятия по комплектованию книжных фондов библиотек муниципальных образований</v>
      </c>
      <c r="B247" s="47" t="str">
        <f>'Таблица №9'!C253</f>
        <v>0801</v>
      </c>
      <c r="C247" s="47" t="str">
        <f>'Таблица №9'!D253</f>
        <v>59</v>
      </c>
      <c r="D247" s="47">
        <f>'Таблица №9'!E253</f>
        <v>0</v>
      </c>
      <c r="E247" s="47"/>
      <c r="F247" s="46">
        <f>'Таблица №9'!G253</f>
        <v>0</v>
      </c>
      <c r="G247" s="46">
        <f>'Таблица №9'!H253</f>
        <v>0</v>
      </c>
      <c r="H247" s="46">
        <f>'Таблица №9'!I253</f>
        <v>0</v>
      </c>
      <c r="I247" s="46">
        <f>'Таблица №9'!J253</f>
        <v>0</v>
      </c>
      <c r="J247" s="46">
        <f>'Таблица №9'!K253</f>
        <v>0</v>
      </c>
    </row>
    <row r="248" spans="1:10" ht="51" outlineLevel="3">
      <c r="A248" s="51" t="str">
        <f>'Таблица №9'!A254</f>
        <v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v>
      </c>
      <c r="B248" s="47" t="str">
        <f>'Таблица №9'!C254</f>
        <v>0801</v>
      </c>
      <c r="C248" s="47" t="str">
        <f>'Таблица №9'!D254</f>
        <v>59</v>
      </c>
      <c r="D248" s="47">
        <f>'Таблица №9'!E254</f>
        <v>0</v>
      </c>
      <c r="E248" s="47">
        <f>'Таблица №9'!F254</f>
        <v>600</v>
      </c>
      <c r="F248" s="46">
        <f>'Таблица №9'!G254</f>
        <v>0</v>
      </c>
      <c r="G248" s="46">
        <f>'Таблица №9'!H254</f>
        <v>0</v>
      </c>
      <c r="H248" s="46">
        <f>'Таблица №9'!I254</f>
        <v>0</v>
      </c>
      <c r="I248" s="46">
        <f>'Таблица №9'!J254</f>
        <v>0</v>
      </c>
      <c r="J248" s="46">
        <f>'Таблица №9'!K254</f>
        <v>0</v>
      </c>
    </row>
    <row r="249" spans="1:10" ht="16.5" customHeight="1" outlineLevel="3">
      <c r="A249" s="51" t="str">
        <f>'Таблица №9'!A255</f>
        <v>Кинематография</v>
      </c>
      <c r="B249" s="47" t="str">
        <f>'Таблица №9'!C255</f>
        <v>0802</v>
      </c>
      <c r="C249" s="47" t="str">
        <f>'Таблица №9'!D255</f>
        <v>59</v>
      </c>
      <c r="D249" s="47">
        <f>'Таблица №9'!E255</f>
        <v>0</v>
      </c>
      <c r="E249" s="47"/>
      <c r="F249" s="46">
        <f>'Таблица №9'!G255</f>
        <v>0</v>
      </c>
      <c r="G249" s="46">
        <f>'Таблица №9'!H255</f>
        <v>309</v>
      </c>
      <c r="H249" s="46">
        <f>'Таблица №9'!I255</f>
        <v>106</v>
      </c>
      <c r="I249" s="46">
        <f>'Таблица №9'!J255</f>
        <v>309</v>
      </c>
      <c r="J249" s="46">
        <f>'Таблица №9'!K255</f>
        <v>400</v>
      </c>
    </row>
    <row r="250" spans="1:10" ht="33.75" customHeight="1" outlineLevel="1">
      <c r="A250" s="51" t="str">
        <f>'Таблица №9'!A256</f>
        <v>Предоставление субсидий бюджетным, автономным учреждениям и иным некоммерческим организациям</v>
      </c>
      <c r="B250" s="47" t="str">
        <f>'Таблица №9'!C256</f>
        <v>0802</v>
      </c>
      <c r="C250" s="47" t="str">
        <f>'Таблица №9'!D256</f>
        <v>59</v>
      </c>
      <c r="D250" s="47">
        <f>'Таблица №9'!E256</f>
        <v>0</v>
      </c>
      <c r="E250" s="47">
        <f>'Таблица №9'!F256</f>
        <v>600</v>
      </c>
      <c r="F250" s="46">
        <f>'Таблица №9'!G256</f>
        <v>0</v>
      </c>
      <c r="G250" s="46">
        <f>'Таблица №9'!H256</f>
        <v>309</v>
      </c>
      <c r="H250" s="46">
        <f>'Таблица №9'!I256</f>
        <v>106</v>
      </c>
      <c r="I250" s="46">
        <f>'Таблица №9'!J256</f>
        <v>309</v>
      </c>
      <c r="J250" s="46">
        <f>'Таблица №9'!K256</f>
        <v>400</v>
      </c>
    </row>
    <row r="251" spans="1:10" ht="22.5" customHeight="1" outlineLevel="3">
      <c r="A251" s="51" t="str">
        <f>'Таблица №9'!A257</f>
        <v>Другие вопросы в области культуры, кинематографии </v>
      </c>
      <c r="B251" s="47" t="str">
        <f>'Таблица №9'!C257</f>
        <v>0804</v>
      </c>
      <c r="C251" s="47" t="str">
        <f>'Таблица №9'!D257</f>
        <v>59</v>
      </c>
      <c r="D251" s="47">
        <f>'Таблица №9'!E257</f>
        <v>0</v>
      </c>
      <c r="E251" s="47"/>
      <c r="F251" s="46">
        <f>'Таблица №9'!G257</f>
        <v>0</v>
      </c>
      <c r="G251" s="46">
        <f>'Таблица №9'!H257</f>
        <v>846</v>
      </c>
      <c r="H251" s="46">
        <f>'Таблица №9'!I257</f>
        <v>292</v>
      </c>
      <c r="I251" s="46">
        <f>'Таблица №9'!J257</f>
        <v>846</v>
      </c>
      <c r="J251" s="46">
        <f>'Таблица №9'!K257</f>
        <v>1000</v>
      </c>
    </row>
    <row r="252" spans="1:10" ht="26.25" customHeight="1" outlineLevel="3">
      <c r="A252" s="51" t="str">
        <f>'Таблица №9'!A258</f>
        <v>Предоставление субсидий бюджетным, автономным учреждениям и иным некоммерческим организациям</v>
      </c>
      <c r="B252" s="47" t="str">
        <f>'Таблица №9'!C258</f>
        <v>0804</v>
      </c>
      <c r="C252" s="47" t="str">
        <f>'Таблица №9'!D258</f>
        <v>59</v>
      </c>
      <c r="D252" s="47">
        <f>'Таблица №9'!E258</f>
        <v>0</v>
      </c>
      <c r="E252" s="47">
        <f>'Таблица №9'!F258</f>
        <v>600</v>
      </c>
      <c r="F252" s="46">
        <f>'Таблица №9'!G258</f>
        <v>0</v>
      </c>
      <c r="G252" s="46">
        <f>'Таблица №9'!H258</f>
        <v>846</v>
      </c>
      <c r="H252" s="46">
        <f>'Таблица №9'!I258</f>
        <v>292</v>
      </c>
      <c r="I252" s="46">
        <f>'Таблица №9'!J258</f>
        <v>846</v>
      </c>
      <c r="J252" s="46">
        <f>'Таблица №9'!K258</f>
        <v>1000</v>
      </c>
    </row>
    <row r="253" spans="1:10" ht="20.25" customHeight="1">
      <c r="A253" s="51" t="str">
        <f>'Таблица №9'!A259</f>
        <v>Социальная политика</v>
      </c>
      <c r="B253" s="47" t="str">
        <f>'Таблица №9'!C259</f>
        <v>1000</v>
      </c>
      <c r="C253" s="47"/>
      <c r="D253" s="47"/>
      <c r="E253" s="47"/>
      <c r="F253" s="46">
        <f>'Таблица №9'!G259</f>
        <v>2685.2999999999997</v>
      </c>
      <c r="G253" s="46">
        <f>'Таблица №9'!H259</f>
        <v>15525.4</v>
      </c>
      <c r="H253" s="46">
        <f>'Таблица №9'!I259</f>
        <v>3607.8</v>
      </c>
      <c r="I253" s="46">
        <f>'Таблица №9'!J259</f>
        <v>15735.5</v>
      </c>
      <c r="J253" s="46">
        <f>'Таблица №9'!K259</f>
        <v>15290.2</v>
      </c>
    </row>
    <row r="254" spans="1:10" s="16" customFormat="1" ht="27.75" customHeight="1" outlineLevel="2">
      <c r="A254" s="51" t="str">
        <f>'Таблица №9'!A260</f>
        <v>Доплаты к пенсии государственных служащих субъектов Российской Федерации и муниципальных служащих</v>
      </c>
      <c r="B254" s="47" t="str">
        <f>'Таблица №9'!C260</f>
        <v>1001</v>
      </c>
      <c r="C254" s="47"/>
      <c r="D254" s="47"/>
      <c r="E254" s="47"/>
      <c r="F254" s="46">
        <f>'Таблица №9'!G260</f>
        <v>600</v>
      </c>
      <c r="G254" s="46">
        <f>'Таблица №9'!H260</f>
        <v>2000</v>
      </c>
      <c r="H254" s="46">
        <f>'Таблица №9'!I260</f>
        <v>600</v>
      </c>
      <c r="I254" s="46">
        <f>'Таблица №9'!J260</f>
        <v>2000</v>
      </c>
      <c r="J254" s="46">
        <f>'Таблица №9'!K260</f>
        <v>2000</v>
      </c>
    </row>
    <row r="255" spans="1:10" s="16" customFormat="1" ht="35.25" customHeight="1" outlineLevel="2">
      <c r="A255" s="51" t="str">
        <f>'Таблица №9'!A261</f>
        <v>Непрограммные расходы органов местного самоуправления Алексеевского муниципального района</v>
      </c>
      <c r="B255" s="47" t="str">
        <f>'Таблица №9'!C261</f>
        <v>1001</v>
      </c>
      <c r="C255" s="47" t="str">
        <f>'Таблица №9'!D261</f>
        <v>99</v>
      </c>
      <c r="D255" s="47">
        <f>'Таблица №9'!E261</f>
        <v>0</v>
      </c>
      <c r="E255" s="47"/>
      <c r="F255" s="46">
        <f>'Таблица №9'!G261</f>
        <v>600</v>
      </c>
      <c r="G255" s="46">
        <f>'Таблица №9'!H261</f>
        <v>2000</v>
      </c>
      <c r="H255" s="46">
        <f>'Таблица №9'!I261</f>
        <v>600</v>
      </c>
      <c r="I255" s="46">
        <f>'Таблица №9'!J261</f>
        <v>2000</v>
      </c>
      <c r="J255" s="46">
        <f>'Таблица №9'!K261</f>
        <v>2000</v>
      </c>
    </row>
    <row r="256" spans="1:10" s="16" customFormat="1" ht="23.25" customHeight="1" outlineLevel="2">
      <c r="A256" s="51" t="str">
        <f>'Таблица №9'!A262</f>
        <v>Социальное обеспечение и иные выплаты населению</v>
      </c>
      <c r="B256" s="47" t="str">
        <f>'Таблица №9'!C262</f>
        <v>1001</v>
      </c>
      <c r="C256" s="47" t="str">
        <f>'Таблица №9'!D262</f>
        <v>99</v>
      </c>
      <c r="D256" s="47">
        <f>'Таблица №9'!E262</f>
        <v>0</v>
      </c>
      <c r="E256" s="47">
        <f>'Таблица №9'!F262</f>
        <v>300</v>
      </c>
      <c r="F256" s="46">
        <f>'Таблица №9'!G262</f>
        <v>600</v>
      </c>
      <c r="G256" s="46">
        <f>'Таблица №9'!H262</f>
        <v>2000</v>
      </c>
      <c r="H256" s="46">
        <f>'Таблица №9'!I262</f>
        <v>600</v>
      </c>
      <c r="I256" s="46">
        <f>'Таблица №9'!J262</f>
        <v>2000</v>
      </c>
      <c r="J256" s="46">
        <f>'Таблица №9'!K262</f>
        <v>2000</v>
      </c>
    </row>
    <row r="257" spans="1:10" ht="18.75" customHeight="1" outlineLevel="3">
      <c r="A257" s="51" t="str">
        <f>'Таблица №9'!A263</f>
        <v>Социальное обеспечение населения</v>
      </c>
      <c r="B257" s="47" t="str">
        <f>'Таблица №9'!C263</f>
        <v>1003</v>
      </c>
      <c r="C257" s="47"/>
      <c r="D257" s="47"/>
      <c r="E257" s="47"/>
      <c r="F257" s="46">
        <f>'Таблица №9'!G263</f>
        <v>1611.7</v>
      </c>
      <c r="G257" s="46">
        <f>'Таблица №9'!H263</f>
        <v>9490.8</v>
      </c>
      <c r="H257" s="46">
        <f>'Таблица №9'!I263</f>
        <v>2233.5</v>
      </c>
      <c r="I257" s="46">
        <f>'Таблица №9'!J263</f>
        <v>9400.2</v>
      </c>
      <c r="J257" s="46">
        <f>'Таблица №9'!K263</f>
        <v>8954.900000000001</v>
      </c>
    </row>
    <row r="258" spans="1:10" s="16" customFormat="1" ht="76.5" outlineLevel="2">
      <c r="A258" s="51" t="str">
        <f>'Таблица №9'!A264</f>
        <v>Муниципальная программа  " 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 в Алексеевском  муниципальном районе 2016-2018 годы"</v>
      </c>
      <c r="B258" s="47" t="str">
        <f>'Таблица №9'!C264</f>
        <v>1003</v>
      </c>
      <c r="C258" s="47" t="str">
        <f>'Таблица №9'!D264</f>
        <v>14</v>
      </c>
      <c r="D258" s="47">
        <f>'Таблица №9'!E264</f>
        <v>0</v>
      </c>
      <c r="E258" s="47"/>
      <c r="F258" s="46">
        <f>'Таблица №9'!G264</f>
        <v>20</v>
      </c>
      <c r="G258" s="46">
        <f>'Таблица №9'!H264</f>
        <v>500</v>
      </c>
      <c r="H258" s="46">
        <f>'Таблица №9'!I264</f>
        <v>20</v>
      </c>
      <c r="I258" s="46">
        <f>'Таблица №9'!J264</f>
        <v>500</v>
      </c>
      <c r="J258" s="46">
        <f>'Таблица №9'!K264</f>
        <v>0</v>
      </c>
    </row>
    <row r="259" spans="1:10" s="16" customFormat="1" ht="19.5" customHeight="1" outlineLevel="2">
      <c r="A259" s="51" t="str">
        <f>'Таблица №9'!A265</f>
        <v>Социальное обеспечение и иные выплаты населению</v>
      </c>
      <c r="B259" s="47" t="str">
        <f>'Таблица №9'!C265</f>
        <v>1003</v>
      </c>
      <c r="C259" s="47" t="str">
        <f>'Таблица №9'!D265</f>
        <v>14</v>
      </c>
      <c r="D259" s="47">
        <f>'Таблица №9'!E265</f>
        <v>0</v>
      </c>
      <c r="E259" s="47">
        <f>'Таблица №9'!F265</f>
        <v>300</v>
      </c>
      <c r="F259" s="46">
        <f>'Таблица №9'!G265</f>
        <v>20</v>
      </c>
      <c r="G259" s="46">
        <f>'Таблица №9'!H265</f>
        <v>500</v>
      </c>
      <c r="H259" s="46">
        <f>'Таблица №9'!I265</f>
        <v>20</v>
      </c>
      <c r="I259" s="46">
        <f>'Таблица №9'!J265</f>
        <v>500</v>
      </c>
      <c r="J259" s="46">
        <f>'Таблица №9'!K265</f>
        <v>0</v>
      </c>
    </row>
    <row r="260" spans="1:10" s="16" customFormat="1" ht="29.25" customHeight="1" outlineLevel="2">
      <c r="A260" s="51" t="str">
        <f>'Таблица №9'!A266</f>
        <v>Непрограммные расходы органов местного самоуправления Алексеевского муниципального района</v>
      </c>
      <c r="B260" s="47" t="str">
        <f>'Таблица №9'!C266</f>
        <v>1003</v>
      </c>
      <c r="C260" s="47" t="str">
        <f>'Таблица №9'!D266</f>
        <v>99</v>
      </c>
      <c r="D260" s="47">
        <f>'Таблица №9'!E266</f>
        <v>0</v>
      </c>
      <c r="E260" s="47"/>
      <c r="F260" s="46">
        <f>'Таблица №9'!G266</f>
        <v>1591.7</v>
      </c>
      <c r="G260" s="46">
        <f>'Таблица №9'!H266</f>
        <v>8990.8</v>
      </c>
      <c r="H260" s="46">
        <f>'Таблица №9'!I266</f>
        <v>2213.5</v>
      </c>
      <c r="I260" s="46">
        <f>'Таблица №9'!J266</f>
        <v>8900.2</v>
      </c>
      <c r="J260" s="46">
        <f>'Таблица №9'!K266</f>
        <v>8954.900000000001</v>
      </c>
    </row>
    <row r="261" spans="1:10" ht="114.75" outlineLevel="3">
      <c r="A261" s="51" t="str">
        <f>'Таблица №9'!A267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61" s="47" t="str">
        <f>'Таблица №9'!C267</f>
        <v>1003</v>
      </c>
      <c r="C261" s="47" t="str">
        <f>'Таблица №9'!D267</f>
        <v>99</v>
      </c>
      <c r="D261" s="47">
        <f>'Таблица №9'!E267</f>
        <v>0</v>
      </c>
      <c r="E261" s="47"/>
      <c r="F261" s="46">
        <f>'Таблица №9'!G267</f>
        <v>424.8</v>
      </c>
      <c r="G261" s="46">
        <f>'Таблица №9'!H267</f>
        <v>5320</v>
      </c>
      <c r="H261" s="46">
        <f>'Таблица №9'!I267</f>
        <v>1137.2</v>
      </c>
      <c r="I261" s="46">
        <f>'Таблица №9'!J267</f>
        <v>5320.000000000001</v>
      </c>
      <c r="J261" s="46">
        <f>'Таблица №9'!K267</f>
        <v>5032.000000000001</v>
      </c>
    </row>
    <row r="262" spans="1:10" ht="22.5" customHeight="1" outlineLevel="1">
      <c r="A262" s="51" t="str">
        <f>'Таблица №9'!A268</f>
        <v>Социальное обеспечение и иные выплаты населению</v>
      </c>
      <c r="B262" s="47" t="str">
        <f>'Таблица №9'!C268</f>
        <v>1003</v>
      </c>
      <c r="C262" s="47" t="str">
        <f>'Таблица №9'!D268</f>
        <v>99</v>
      </c>
      <c r="D262" s="47">
        <f>'Таблица №9'!E268</f>
        <v>0</v>
      </c>
      <c r="E262" s="47">
        <f>'Таблица №9'!F268</f>
        <v>300</v>
      </c>
      <c r="F262" s="46">
        <f>'Таблица №9'!G268</f>
        <v>424.8</v>
      </c>
      <c r="G262" s="46">
        <f>'Таблица №9'!H268</f>
        <v>4428.2609999999995</v>
      </c>
      <c r="H262" s="46">
        <f>'Таблица №9'!I268</f>
        <v>1137.2</v>
      </c>
      <c r="I262" s="46">
        <f>'Таблица №9'!J268</f>
        <v>4428.261</v>
      </c>
      <c r="J262" s="46">
        <f>'Таблица №9'!K268</f>
        <v>4140.261</v>
      </c>
    </row>
    <row r="263" spans="1:10" ht="63.75" outlineLevel="3">
      <c r="A263" s="51" t="str">
        <f>'Таблица №9'!A269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3" s="47" t="str">
        <f>'Таблица №9'!C269</f>
        <v>1003</v>
      </c>
      <c r="C263" s="47" t="str">
        <f>'Таблица №9'!D269</f>
        <v>99</v>
      </c>
      <c r="D263" s="47">
        <f>'Таблица №9'!E269</f>
        <v>0</v>
      </c>
      <c r="E263" s="47">
        <f>'Таблица №9'!F269</f>
        <v>100</v>
      </c>
      <c r="F263" s="46">
        <f>'Таблица №9'!G269</f>
        <v>0</v>
      </c>
      <c r="G263" s="46">
        <f>'Таблица №9'!H269</f>
        <v>722.956</v>
      </c>
      <c r="H263" s="46">
        <f>'Таблица №9'!I269</f>
        <v>0</v>
      </c>
      <c r="I263" s="46">
        <f>'Таблица №9'!J269</f>
        <v>722.956</v>
      </c>
      <c r="J263" s="46">
        <f>'Таблица №9'!K269</f>
        <v>722.956</v>
      </c>
    </row>
    <row r="264" spans="1:10" ht="27" customHeight="1" outlineLevel="1">
      <c r="A264" s="51" t="str">
        <f>'Таблица №9'!A270</f>
        <v>Закупка товаров, работ и услуг для государственных (муниципальных) нужд</v>
      </c>
      <c r="B264" s="47" t="str">
        <f>'Таблица №9'!C270</f>
        <v>1003</v>
      </c>
      <c r="C264" s="47" t="str">
        <f>'Таблица №9'!D270</f>
        <v>99</v>
      </c>
      <c r="D264" s="47">
        <f>'Таблица №9'!E270</f>
        <v>0</v>
      </c>
      <c r="E264" s="47">
        <f>'Таблица №9'!F270</f>
        <v>200</v>
      </c>
      <c r="F264" s="46">
        <f>'Таблица №9'!G270</f>
        <v>0</v>
      </c>
      <c r="G264" s="46">
        <f>'Таблица №9'!H270</f>
        <v>168.78300000000002</v>
      </c>
      <c r="H264" s="46">
        <f>'Таблица №9'!I270</f>
        <v>0</v>
      </c>
      <c r="I264" s="46">
        <f>'Таблица №9'!J270</f>
        <v>168.78300000000002</v>
      </c>
      <c r="J264" s="46">
        <f>'Таблица №9'!K270</f>
        <v>168.78300000000002</v>
      </c>
    </row>
    <row r="265" spans="1:10" ht="97.5" customHeight="1" outlineLevel="2">
      <c r="A265" s="51" t="str">
        <f>'Таблица №9'!A271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65" s="47" t="str">
        <f>'Таблица №9'!C271</f>
        <v>1003</v>
      </c>
      <c r="C265" s="47" t="str">
        <f>'Таблица №9'!D271</f>
        <v>99</v>
      </c>
      <c r="D265" s="47">
        <f>'Таблица №9'!E271</f>
        <v>0</v>
      </c>
      <c r="E265" s="47">
        <f>'Таблица №9'!F271</f>
        <v>300</v>
      </c>
      <c r="F265" s="46">
        <f>'Таблица №9'!G271</f>
        <v>342.7</v>
      </c>
      <c r="G265" s="46">
        <f>'Таблица №9'!H271</f>
        <v>342.7</v>
      </c>
      <c r="H265" s="46">
        <f>'Таблица №9'!I271</f>
        <v>0</v>
      </c>
      <c r="I265" s="46">
        <f>'Таблица №9'!J271</f>
        <v>0</v>
      </c>
      <c r="J265" s="46">
        <f>'Таблица №9'!K271</f>
        <v>342.7</v>
      </c>
    </row>
    <row r="266" spans="1:10" ht="85.5" customHeight="1" outlineLevel="3">
      <c r="A266" s="51" t="str">
        <f>'Таблица №9'!A272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66" s="47" t="str">
        <f>'Таблица №9'!C272</f>
        <v>1003</v>
      </c>
      <c r="C266" s="47" t="str">
        <f>'Таблица №9'!D272</f>
        <v>99</v>
      </c>
      <c r="D266" s="47">
        <f>'Таблица №9'!E272</f>
        <v>0</v>
      </c>
      <c r="E266" s="47">
        <f>'Таблица №9'!F272</f>
        <v>300</v>
      </c>
      <c r="F266" s="46">
        <f>'Таблица №9'!G272</f>
        <v>36.6</v>
      </c>
      <c r="G266" s="46">
        <f>'Таблица №9'!H272</f>
        <v>55.2</v>
      </c>
      <c r="H266" s="46">
        <f>'Таблица №9'!I272</f>
        <v>36.6</v>
      </c>
      <c r="I266" s="46">
        <f>'Таблица №9'!J272</f>
        <v>55.2</v>
      </c>
      <c r="J266" s="46">
        <f>'Таблица №9'!K272</f>
        <v>55.2</v>
      </c>
    </row>
    <row r="267" spans="1:10" ht="109.5" customHeight="1">
      <c r="A267" s="51" t="str">
        <f>'Таблица №9'!A273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67" s="47" t="str">
        <f>'Таблица №9'!C273</f>
        <v>1003</v>
      </c>
      <c r="C267" s="47" t="str">
        <f>'Таблица №9'!D273</f>
        <v>99</v>
      </c>
      <c r="D267" s="47">
        <f>'Таблица №9'!E273</f>
        <v>0</v>
      </c>
      <c r="E267" s="47">
        <f>'Таблица №9'!F273</f>
        <v>300</v>
      </c>
      <c r="F267" s="46">
        <f>'Таблица №9'!G273</f>
        <v>787.6</v>
      </c>
      <c r="G267" s="46">
        <f>'Таблица №9'!H273</f>
        <v>3272.9</v>
      </c>
      <c r="H267" s="46">
        <f>'Таблица №9'!I273</f>
        <v>1039.7</v>
      </c>
      <c r="I267" s="46">
        <f>'Таблица №9'!J273</f>
        <v>3525</v>
      </c>
      <c r="J267" s="46">
        <f>'Таблица №9'!K273</f>
        <v>3525</v>
      </c>
    </row>
    <row r="268" spans="1:10" ht="12.75" outlineLevel="1">
      <c r="A268" s="51" t="str">
        <f>'Таблица №9'!A274</f>
        <v>Охрана семьи и детства</v>
      </c>
      <c r="B268" s="47" t="str">
        <f>'Таблица №9'!C274</f>
        <v>1004</v>
      </c>
      <c r="C268" s="47"/>
      <c r="D268" s="47"/>
      <c r="E268" s="47"/>
      <c r="F268" s="46">
        <f>'Таблица №9'!G274</f>
        <v>473.6</v>
      </c>
      <c r="G268" s="46">
        <f>'Таблица №9'!H274</f>
        <v>4034.6</v>
      </c>
      <c r="H268" s="46">
        <f>'Таблица №9'!I274</f>
        <v>774.3</v>
      </c>
      <c r="I268" s="46">
        <f>'Таблица №9'!J274</f>
        <v>4335.3</v>
      </c>
      <c r="J268" s="46">
        <f>'Таблица №9'!K274</f>
        <v>4335.3</v>
      </c>
    </row>
    <row r="269" spans="1:10" ht="27" customHeight="1" outlineLevel="1">
      <c r="A269" s="51" t="str">
        <f>'Таблица №9'!A275</f>
        <v>Непрограммные расходы органов местного самоуправления Алексеевского муниципального района</v>
      </c>
      <c r="B269" s="47" t="str">
        <f>'Таблица №9'!C275</f>
        <v>1004</v>
      </c>
      <c r="C269" s="47" t="str">
        <f>'Таблица №9'!D275</f>
        <v>99</v>
      </c>
      <c r="D269" s="47">
        <f>'Таблица №9'!E275</f>
        <v>0</v>
      </c>
      <c r="E269" s="47"/>
      <c r="F269" s="46">
        <f>'Таблица №9'!G275</f>
        <v>473.6</v>
      </c>
      <c r="G269" s="46">
        <f>'Таблица №9'!H275</f>
        <v>4034.6</v>
      </c>
      <c r="H269" s="46">
        <f>'Таблица №9'!I275</f>
        <v>774.3</v>
      </c>
      <c r="I269" s="46">
        <f>'Таблица №9'!J275</f>
        <v>4335.3</v>
      </c>
      <c r="J269" s="46">
        <f>'Таблица №9'!K275</f>
        <v>4335.3</v>
      </c>
    </row>
    <row r="270" spans="1:10" ht="165.75" outlineLevel="5">
      <c r="A270" s="51" t="str">
        <f>'Таблица №9'!A276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70" s="47" t="str">
        <f>'Таблица №9'!C276</f>
        <v>1004</v>
      </c>
      <c r="C270" s="47" t="str">
        <f>'Таблица №9'!D276</f>
        <v>99</v>
      </c>
      <c r="D270" s="47">
        <f>'Таблица №9'!E276</f>
        <v>0</v>
      </c>
      <c r="E270" s="47"/>
      <c r="F270" s="46">
        <f>'Таблица №9'!G276</f>
        <v>-101.6</v>
      </c>
      <c r="G270" s="46">
        <f>'Таблица №9'!H276</f>
        <v>1084.9</v>
      </c>
      <c r="H270" s="46">
        <f>'Таблица №9'!I276</f>
        <v>-18</v>
      </c>
      <c r="I270" s="46">
        <f>'Таблица №9'!J276</f>
        <v>1168.5</v>
      </c>
      <c r="J270" s="46">
        <f>'Таблица №9'!K276</f>
        <v>1168.5</v>
      </c>
    </row>
    <row r="271" spans="1:10" ht="20.25" customHeight="1" outlineLevel="5">
      <c r="A271" s="51" t="str">
        <f>'Таблица №9'!A277</f>
        <v>Социальные выплаты</v>
      </c>
      <c r="B271" s="47" t="str">
        <f>'Таблица №9'!C277</f>
        <v>1004</v>
      </c>
      <c r="C271" s="47" t="str">
        <f>'Таблица №9'!D277</f>
        <v>99</v>
      </c>
      <c r="D271" s="47">
        <f>'Таблица №9'!E277</f>
        <v>0</v>
      </c>
      <c r="E271" s="47">
        <f>'Таблица №9'!F277</f>
        <v>300</v>
      </c>
      <c r="F271" s="46">
        <f>'Таблица №9'!G277</f>
        <v>-100.55</v>
      </c>
      <c r="G271" s="46">
        <f>'Таблица №9'!H277</f>
        <v>1074.2</v>
      </c>
      <c r="H271" s="46">
        <f>'Таблица №9'!I277</f>
        <v>-17.85</v>
      </c>
      <c r="I271" s="46">
        <f>'Таблица №9'!J277</f>
        <v>1156.9</v>
      </c>
      <c r="J271" s="46">
        <f>'Таблица №9'!K277</f>
        <v>1156.9</v>
      </c>
    </row>
    <row r="272" spans="1:10" ht="30.75" customHeight="1" outlineLevel="2">
      <c r="A272" s="51" t="str">
        <f>'Таблица №9'!A278</f>
        <v>Закупка товаров, работ и услуг для государственных (муниципальных) нужд</v>
      </c>
      <c r="B272" s="47" t="str">
        <f>'Таблица №9'!C278</f>
        <v>1004</v>
      </c>
      <c r="C272" s="47" t="str">
        <f>'Таблица №9'!D278</f>
        <v>99</v>
      </c>
      <c r="D272" s="47">
        <f>'Таблица №9'!E278</f>
        <v>0</v>
      </c>
      <c r="E272" s="47">
        <f>'Таблица №9'!F278</f>
        <v>200</v>
      </c>
      <c r="F272" s="46">
        <f>'Таблица №9'!G278</f>
        <v>-1.05</v>
      </c>
      <c r="G272" s="46">
        <f>'Таблица №9'!H278</f>
        <v>10.7</v>
      </c>
      <c r="H272" s="46">
        <f>'Таблица №9'!I278</f>
        <v>-0.15</v>
      </c>
      <c r="I272" s="46">
        <f>'Таблица №9'!J278</f>
        <v>11.6</v>
      </c>
      <c r="J272" s="46">
        <f>'Таблица №9'!K278</f>
        <v>11.6</v>
      </c>
    </row>
    <row r="273" spans="1:10" ht="130.5" customHeight="1" outlineLevel="3">
      <c r="A273" s="51" t="str">
        <f>'Таблица №9'!A279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73" s="47" t="str">
        <f>'Таблица №9'!C279</f>
        <v>1004</v>
      </c>
      <c r="C273" s="47" t="str">
        <f>'Таблица №9'!D279</f>
        <v>99</v>
      </c>
      <c r="D273" s="47">
        <f>'Таблица №9'!E279</f>
        <v>0</v>
      </c>
      <c r="E273" s="47"/>
      <c r="F273" s="46">
        <f>'Таблица №9'!G279</f>
        <v>575.2</v>
      </c>
      <c r="G273" s="46">
        <f>'Таблица №9'!H279</f>
        <v>2949.7</v>
      </c>
      <c r="H273" s="46">
        <f>'Таблица №9'!I279</f>
        <v>792.3</v>
      </c>
      <c r="I273" s="46">
        <f>'Таблица №9'!J279</f>
        <v>3166.8</v>
      </c>
      <c r="J273" s="46">
        <f>'Таблица №9'!K279</f>
        <v>3166.8</v>
      </c>
    </row>
    <row r="274" spans="1:10" ht="12.75" outlineLevel="2">
      <c r="A274" s="51" t="str">
        <f>'Таблица №9'!A280</f>
        <v>на выплату пособий по опеке и попечительству</v>
      </c>
      <c r="B274" s="47" t="str">
        <f>'Таблица №9'!C280</f>
        <v>1004</v>
      </c>
      <c r="C274" s="47" t="str">
        <f>'Таблица №9'!D280</f>
        <v>99</v>
      </c>
      <c r="D274" s="47">
        <f>'Таблица №9'!E280</f>
        <v>0</v>
      </c>
      <c r="E274" s="47">
        <f>'Таблица №9'!F280</f>
        <v>300</v>
      </c>
      <c r="F274" s="46">
        <f>'Таблица №9'!G280</f>
        <v>445.9</v>
      </c>
      <c r="G274" s="46">
        <f>'Таблица №9'!H280</f>
        <v>2477.5</v>
      </c>
      <c r="H274" s="46">
        <f>'Таблица №9'!I280</f>
        <v>372.4</v>
      </c>
      <c r="I274" s="46">
        <f>'Таблица №9'!J280</f>
        <v>2404</v>
      </c>
      <c r="J274" s="46">
        <f>'Таблица №9'!K280</f>
        <v>2404</v>
      </c>
    </row>
    <row r="275" spans="1:10" ht="50.25" customHeight="1" outlineLevel="3">
      <c r="A275" s="51" t="str">
        <f>'Таблица №9'!A281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75" s="47" t="str">
        <f>'Таблица №9'!C281</f>
        <v>1004</v>
      </c>
      <c r="C275" s="47" t="str">
        <f>'Таблица №9'!D281</f>
        <v>99</v>
      </c>
      <c r="D275" s="47">
        <f>'Таблица №9'!E281</f>
        <v>0</v>
      </c>
      <c r="E275" s="47">
        <f>'Таблица №9'!F281</f>
        <v>300</v>
      </c>
      <c r="F275" s="46">
        <f>'Таблица №9'!G281</f>
        <v>129.3</v>
      </c>
      <c r="G275" s="46">
        <f>'Таблица №9'!H281</f>
        <v>472.2</v>
      </c>
      <c r="H275" s="46">
        <f>'Таблица №9'!I281</f>
        <v>419.9</v>
      </c>
      <c r="I275" s="46">
        <f>'Таблица №9'!J281</f>
        <v>762.8</v>
      </c>
      <c r="J275" s="46">
        <f>'Таблица №9'!K281</f>
        <v>762.8</v>
      </c>
    </row>
    <row r="276" spans="1:10" ht="20.25" customHeight="1" outlineLevel="2">
      <c r="A276" s="51" t="str">
        <f>'Таблица №9'!A282</f>
        <v>Физическая культура и спорт</v>
      </c>
      <c r="B276" s="47" t="str">
        <f>'Таблица №9'!C282</f>
        <v>1100</v>
      </c>
      <c r="C276" s="47"/>
      <c r="D276" s="47"/>
      <c r="E276" s="47"/>
      <c r="F276" s="46">
        <f>'Таблица №9'!G282</f>
        <v>-100</v>
      </c>
      <c r="G276" s="46">
        <f>'Таблица №9'!H282</f>
        <v>600</v>
      </c>
      <c r="H276" s="46">
        <f>'Таблица №9'!I282</f>
        <v>-100</v>
      </c>
      <c r="I276" s="46">
        <f>'Таблица №9'!J282</f>
        <v>600</v>
      </c>
      <c r="J276" s="46">
        <f>'Таблица №9'!K282</f>
        <v>0</v>
      </c>
    </row>
    <row r="277" spans="1:10" ht="38.25" outlineLevel="3">
      <c r="A277" s="51" t="str">
        <f>'Таблица №9'!A283</f>
        <v>Муниципальная программа "Развитие физической культуры и спорта в Алексеевском муниципальном районе на 2016-2018 годы"</v>
      </c>
      <c r="B277" s="47" t="str">
        <f>'Таблица №9'!C283</f>
        <v>1105</v>
      </c>
      <c r="C277" s="47" t="str">
        <f>'Таблица №9'!D283</f>
        <v>17</v>
      </c>
      <c r="D277" s="47">
        <f>'Таблица №9'!E283</f>
        <v>0</v>
      </c>
      <c r="E277" s="47"/>
      <c r="F277" s="46">
        <f>'Таблица №9'!G283</f>
        <v>-100</v>
      </c>
      <c r="G277" s="46">
        <f>'Таблица №9'!H283</f>
        <v>600</v>
      </c>
      <c r="H277" s="46">
        <f>'Таблица №9'!I283</f>
        <v>-100</v>
      </c>
      <c r="I277" s="46">
        <f>'Таблица №9'!J283</f>
        <v>600</v>
      </c>
      <c r="J277" s="46">
        <f>'Таблица №9'!K283</f>
        <v>0</v>
      </c>
    </row>
    <row r="278" spans="1:10" ht="30" customHeight="1" outlineLevel="3">
      <c r="A278" s="51" t="str">
        <f>'Таблица №9'!A284</f>
        <v>Закупка товаров, работ и услуг для государственных (муниципальных) нужд</v>
      </c>
      <c r="B278" s="47" t="str">
        <f>'Таблица №9'!C284</f>
        <v>1105</v>
      </c>
      <c r="C278" s="47" t="str">
        <f>'Таблица №9'!D284</f>
        <v>17</v>
      </c>
      <c r="D278" s="47">
        <f>'Таблица №9'!E284</f>
        <v>0</v>
      </c>
      <c r="E278" s="47">
        <f>'Таблица №9'!F284</f>
        <v>200</v>
      </c>
      <c r="F278" s="46">
        <f>'Таблица №9'!G284</f>
        <v>-100</v>
      </c>
      <c r="G278" s="46">
        <f>'Таблица №9'!H284</f>
        <v>600</v>
      </c>
      <c r="H278" s="46">
        <f>'Таблица №9'!I284</f>
        <v>-100</v>
      </c>
      <c r="I278" s="46">
        <f>'Таблица №9'!J284</f>
        <v>600</v>
      </c>
      <c r="J278" s="46">
        <f>'Таблица №9'!K284</f>
        <v>0</v>
      </c>
    </row>
    <row r="279" spans="1:10" ht="21" customHeight="1" outlineLevel="3">
      <c r="A279" s="51" t="str">
        <f>'Таблица №9'!A285</f>
        <v>Средства массовой информации </v>
      </c>
      <c r="B279" s="47" t="str">
        <f>'Таблица №9'!C285</f>
        <v>1200</v>
      </c>
      <c r="C279" s="47"/>
      <c r="D279" s="47"/>
      <c r="E279" s="47"/>
      <c r="F279" s="46">
        <f>'Таблица №9'!G285</f>
        <v>500</v>
      </c>
      <c r="G279" s="46">
        <f>'Таблица №9'!H285</f>
        <v>1200</v>
      </c>
      <c r="H279" s="46">
        <f>'Таблица №9'!I285</f>
        <v>500</v>
      </c>
      <c r="I279" s="46">
        <f>'Таблица №9'!J285</f>
        <v>1200</v>
      </c>
      <c r="J279" s="46">
        <f>'Таблица №9'!K285</f>
        <v>1200</v>
      </c>
    </row>
    <row r="280" spans="1:10" ht="19.5" customHeight="1" outlineLevel="3">
      <c r="A280" s="51" t="str">
        <f>'Таблица №9'!A286</f>
        <v>Телевидение и радиовещание</v>
      </c>
      <c r="B280" s="47" t="str">
        <f>'Таблица №9'!C286</f>
        <v>1201</v>
      </c>
      <c r="C280" s="47"/>
      <c r="D280" s="47"/>
      <c r="E280" s="47"/>
      <c r="F280" s="46">
        <f>'Таблица №9'!G286</f>
        <v>0</v>
      </c>
      <c r="G280" s="46">
        <f>'Таблица №9'!H286</f>
        <v>0</v>
      </c>
      <c r="H280" s="46">
        <f>'Таблица №9'!I286</f>
        <v>0</v>
      </c>
      <c r="I280" s="46">
        <f>'Таблица №9'!J286</f>
        <v>0</v>
      </c>
      <c r="J280" s="46">
        <f>'Таблица №9'!K286</f>
        <v>0</v>
      </c>
    </row>
    <row r="281" spans="1:10" ht="17.25" customHeight="1" outlineLevel="3">
      <c r="A281" s="51" t="str">
        <f>'Таблица №9'!A287</f>
        <v>Периодическая печать и издательство</v>
      </c>
      <c r="B281" s="47" t="str">
        <f>'Таблица №9'!C287</f>
        <v>1202</v>
      </c>
      <c r="C281" s="47"/>
      <c r="D281" s="47"/>
      <c r="E281" s="47"/>
      <c r="F281" s="46">
        <f>'Таблица №9'!G287</f>
        <v>500</v>
      </c>
      <c r="G281" s="46">
        <f>'Таблица №9'!H287</f>
        <v>1200</v>
      </c>
      <c r="H281" s="46">
        <f>'Таблица №9'!I287</f>
        <v>500</v>
      </c>
      <c r="I281" s="46">
        <f>'Таблица №9'!J287</f>
        <v>1200</v>
      </c>
      <c r="J281" s="46">
        <f>'Таблица №9'!K287</f>
        <v>1200</v>
      </c>
    </row>
    <row r="282" spans="1:10" ht="38.25" outlineLevel="1">
      <c r="A282" s="51" t="str">
        <f>'Таблица №9'!A288</f>
        <v>Ведомственная целевая программа "Поддержка средств массовой информации  в Алексеевском муниципальном районе на 2016-2018 годы"</v>
      </c>
      <c r="B282" s="47" t="str">
        <f>'Таблица №9'!C288</f>
        <v>1202</v>
      </c>
      <c r="C282" s="47" t="str">
        <f>'Таблица №9'!D288</f>
        <v>61</v>
      </c>
      <c r="D282" s="47">
        <f>'Таблица №9'!E288</f>
        <v>0</v>
      </c>
      <c r="E282" s="47"/>
      <c r="F282" s="46">
        <f>'Таблица №9'!G288</f>
        <v>500</v>
      </c>
      <c r="G282" s="46">
        <f>'Таблица №9'!H288</f>
        <v>1200</v>
      </c>
      <c r="H282" s="46">
        <f>'Таблица №9'!I288</f>
        <v>500</v>
      </c>
      <c r="I282" s="46">
        <f>'Таблица №9'!J288</f>
        <v>1200</v>
      </c>
      <c r="J282" s="46">
        <f>'Таблица №9'!K288</f>
        <v>1200</v>
      </c>
    </row>
    <row r="283" spans="1:10" ht="25.5" outlineLevel="2">
      <c r="A283" s="51" t="str">
        <f>'Таблица №9'!A289</f>
        <v>Предоставление субсидий бюджетным, автономным учреждениям и иным некоммерческим организациям</v>
      </c>
      <c r="B283" s="47" t="str">
        <f>'Таблица №9'!C289</f>
        <v>1202</v>
      </c>
      <c r="C283" s="47" t="str">
        <f>'Таблица №9'!D289</f>
        <v>61</v>
      </c>
      <c r="D283" s="47">
        <f>'Таблица №9'!E289</f>
        <v>0</v>
      </c>
      <c r="E283" s="47">
        <f>'Таблица №9'!F289</f>
        <v>600</v>
      </c>
      <c r="F283" s="46">
        <f>'Таблица №9'!G289</f>
        <v>500</v>
      </c>
      <c r="G283" s="46">
        <f>'Таблица №9'!H289</f>
        <v>1200</v>
      </c>
      <c r="H283" s="46">
        <f>'Таблица №9'!I289</f>
        <v>500</v>
      </c>
      <c r="I283" s="46">
        <f>'Таблица №9'!J289</f>
        <v>1200</v>
      </c>
      <c r="J283" s="46">
        <f>'Таблица №9'!K289</f>
        <v>1200</v>
      </c>
    </row>
    <row r="284" spans="1:10" ht="111" customHeight="1" outlineLevel="2">
      <c r="A284" s="51" t="str">
        <f>'Таблица №9'!A290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284" s="47" t="str">
        <f>'Таблица №9'!C290</f>
        <v>1202</v>
      </c>
      <c r="C284" s="47" t="str">
        <f>'Таблица №9'!D290</f>
        <v>61</v>
      </c>
      <c r="D284" s="47">
        <f>'Таблица №9'!E290</f>
        <v>0</v>
      </c>
      <c r="E284" s="47">
        <f>'Таблица №9'!F290</f>
        <v>600</v>
      </c>
      <c r="F284" s="46">
        <f>'Таблица №9'!G290</f>
        <v>0</v>
      </c>
      <c r="G284" s="46">
        <f>'Таблица №9'!H290</f>
        <v>0</v>
      </c>
      <c r="H284" s="46">
        <f>'Таблица №9'!I290</f>
        <v>0</v>
      </c>
      <c r="I284" s="46">
        <f>'Таблица №9'!J290</f>
        <v>0</v>
      </c>
      <c r="J284" s="46">
        <f>'Таблица №9'!K290</f>
        <v>0</v>
      </c>
    </row>
    <row r="285" spans="1:10" ht="25.5" outlineLevel="5">
      <c r="A285" s="51" t="str">
        <f>'Таблица №9'!A291</f>
        <v>Обслуживание государственного и муниципального долга </v>
      </c>
      <c r="B285" s="47" t="str">
        <f>'Таблица №9'!C291</f>
        <v>1300</v>
      </c>
      <c r="C285" s="47"/>
      <c r="D285" s="47"/>
      <c r="E285" s="47"/>
      <c r="F285" s="46">
        <f>'Таблица №9'!G291</f>
        <v>0</v>
      </c>
      <c r="G285" s="46">
        <f>'Таблица №9'!H291</f>
        <v>200</v>
      </c>
      <c r="H285" s="46">
        <f>'Таблица №9'!I291</f>
        <v>0</v>
      </c>
      <c r="I285" s="46">
        <f>'Таблица №9'!J291</f>
        <v>0</v>
      </c>
      <c r="J285" s="46">
        <f>'Таблица №9'!K291</f>
        <v>0</v>
      </c>
    </row>
    <row r="286" spans="1:10" ht="25.5" outlineLevel="5">
      <c r="A286" s="51" t="str">
        <f>'Таблица №9'!A292</f>
        <v>Обслуживание государственного внутреннего и муниципального долга</v>
      </c>
      <c r="B286" s="47" t="str">
        <f>'Таблица №9'!C292</f>
        <v>1301</v>
      </c>
      <c r="C286" s="47"/>
      <c r="D286" s="47"/>
      <c r="E286" s="47"/>
      <c r="F286" s="46">
        <f>'Таблица №9'!G292</f>
        <v>0</v>
      </c>
      <c r="G286" s="46">
        <f>'Таблица №9'!H292</f>
        <v>200</v>
      </c>
      <c r="H286" s="46">
        <f>'Таблица №9'!I292</f>
        <v>0</v>
      </c>
      <c r="I286" s="46">
        <f>'Таблица №9'!J292</f>
        <v>0</v>
      </c>
      <c r="J286" s="46">
        <f>'Таблица №9'!K292</f>
        <v>0</v>
      </c>
    </row>
    <row r="287" spans="1:10" ht="36" customHeight="1" outlineLevel="5">
      <c r="A287" s="51" t="str">
        <f>'Таблица №9'!A293</f>
        <v>Непрограммные расходы органов местного самоуправления Алексеевского муниципального района</v>
      </c>
      <c r="B287" s="47" t="str">
        <f>'Таблица №9'!C293</f>
        <v>1301</v>
      </c>
      <c r="C287" s="47" t="str">
        <f>'Таблица №9'!D293</f>
        <v>99</v>
      </c>
      <c r="D287" s="47">
        <f>'Таблица №9'!E293</f>
        <v>0</v>
      </c>
      <c r="E287" s="47"/>
      <c r="F287" s="46">
        <f>'Таблица №9'!G293</f>
        <v>0</v>
      </c>
      <c r="G287" s="46">
        <f>'Таблица №9'!H293</f>
        <v>200</v>
      </c>
      <c r="H287" s="46">
        <f>'Таблица №9'!I293</f>
        <v>0</v>
      </c>
      <c r="I287" s="46">
        <f>'Таблица №9'!J293</f>
        <v>0</v>
      </c>
      <c r="J287" s="46">
        <f>'Таблица №9'!K293</f>
        <v>0</v>
      </c>
    </row>
    <row r="288" spans="1:10" ht="25.5" outlineLevel="5">
      <c r="A288" s="51" t="str">
        <f>'Таблица №9'!A294</f>
        <v>Обслуживание  государственного (муниципального) долга </v>
      </c>
      <c r="B288" s="47" t="str">
        <f>'Таблица №9'!C294</f>
        <v>1301</v>
      </c>
      <c r="C288" s="47" t="str">
        <f>'Таблица №9'!D294</f>
        <v>99</v>
      </c>
      <c r="D288" s="47">
        <f>'Таблица №9'!E294</f>
        <v>0</v>
      </c>
      <c r="E288" s="47">
        <f>'Таблица №9'!F294</f>
        <v>700</v>
      </c>
      <c r="F288" s="46">
        <f>'Таблица №9'!G294</f>
        <v>0</v>
      </c>
      <c r="G288" s="46">
        <f>'Таблица №9'!H294</f>
        <v>200</v>
      </c>
      <c r="H288" s="46">
        <f>'Таблица №9'!I294</f>
        <v>0</v>
      </c>
      <c r="I288" s="46">
        <f>'Таблица №9'!J294</f>
        <v>0</v>
      </c>
      <c r="J288" s="46">
        <f>'Таблица №9'!K294</f>
        <v>0</v>
      </c>
    </row>
    <row r="289" spans="1:10" ht="25.5" outlineLevel="5">
      <c r="A289" s="51" t="str">
        <f>'Таблица №9'!A295</f>
        <v>Межбюджетные трансферты общего характера бюджетам бюджетной системы Российской Федерации</v>
      </c>
      <c r="B289" s="47" t="str">
        <f>'Таблица №9'!C295</f>
        <v>1400</v>
      </c>
      <c r="C289" s="47"/>
      <c r="D289" s="47"/>
      <c r="E289" s="47"/>
      <c r="F289" s="46">
        <f>'Таблица №9'!G295</f>
        <v>4723</v>
      </c>
      <c r="G289" s="46">
        <f>'Таблица №9'!H295</f>
        <v>4723</v>
      </c>
      <c r="H289" s="46">
        <f>'Таблица №9'!I295</f>
        <v>0</v>
      </c>
      <c r="I289" s="46">
        <f>'Таблица №9'!J295</f>
        <v>0</v>
      </c>
      <c r="J289" s="46">
        <f>'Таблица №9'!K295</f>
        <v>0</v>
      </c>
    </row>
    <row r="290" spans="1:10" ht="12.75" outlineLevel="5">
      <c r="A290" s="51" t="str">
        <f>'Таблица №9'!A296</f>
        <v>Прочие межбюджетные трансферты общего характера</v>
      </c>
      <c r="B290" s="47" t="str">
        <f>'Таблица №9'!C296</f>
        <v>1403</v>
      </c>
      <c r="C290" s="47"/>
      <c r="D290" s="47"/>
      <c r="E290" s="47"/>
      <c r="F290" s="46">
        <f>'Таблица №9'!G296</f>
        <v>4723</v>
      </c>
      <c r="G290" s="46">
        <f>'Таблица №9'!H296</f>
        <v>4723</v>
      </c>
      <c r="H290" s="46">
        <f>'Таблица №9'!I296</f>
        <v>0</v>
      </c>
      <c r="I290" s="46">
        <f>'Таблица №9'!J296</f>
        <v>0</v>
      </c>
      <c r="J290" s="46">
        <f>'Таблица №9'!K296</f>
        <v>0</v>
      </c>
    </row>
    <row r="291" spans="1:10" ht="30.75" customHeight="1" outlineLevel="5">
      <c r="A291" s="51" t="str">
        <f>'Таблица №9'!A297</f>
        <v>Непрограммные расходы органов местного самоуправления Алексеевского муниципального района</v>
      </c>
      <c r="B291" s="47" t="str">
        <f>'Таблица №9'!C297</f>
        <v>1403</v>
      </c>
      <c r="C291" s="47" t="str">
        <f>'Таблица №9'!D297</f>
        <v>99</v>
      </c>
      <c r="D291" s="47">
        <f>'Таблица №9'!E297</f>
        <v>0</v>
      </c>
      <c r="E291" s="47"/>
      <c r="F291" s="46">
        <f>'Таблица №9'!G297</f>
        <v>4723</v>
      </c>
      <c r="G291" s="46">
        <f>'Таблица №9'!H297</f>
        <v>4723</v>
      </c>
      <c r="H291" s="46">
        <f>'Таблица №9'!I297</f>
        <v>0</v>
      </c>
      <c r="I291" s="46">
        <f>'Таблица №9'!J297</f>
        <v>0</v>
      </c>
      <c r="J291" s="46">
        <f>'Таблица №9'!K297</f>
        <v>0</v>
      </c>
    </row>
    <row r="292" spans="1:10" ht="18.75" customHeight="1" outlineLevel="5">
      <c r="A292" s="51" t="str">
        <f>'Таблица №9'!A298</f>
        <v>Межбюджетные трансферты</v>
      </c>
      <c r="B292" s="47" t="str">
        <f>'Таблица №9'!C298</f>
        <v>1403</v>
      </c>
      <c r="C292" s="47" t="str">
        <f>'Таблица №9'!D298</f>
        <v>99</v>
      </c>
      <c r="D292" s="47">
        <f>'Таблица №9'!E298</f>
        <v>0</v>
      </c>
      <c r="E292" s="47">
        <f>'Таблица №9'!F298</f>
        <v>500</v>
      </c>
      <c r="F292" s="46">
        <f>'Таблица №9'!G298</f>
        <v>4723</v>
      </c>
      <c r="G292" s="46">
        <f>'Таблица №9'!H298</f>
        <v>4723</v>
      </c>
      <c r="H292" s="46">
        <f>'Таблица №9'!I298</f>
        <v>0</v>
      </c>
      <c r="I292" s="46">
        <f>'Таблица №9'!J298</f>
        <v>0</v>
      </c>
      <c r="J292" s="46">
        <f>'Таблица №9'!K298</f>
        <v>0</v>
      </c>
    </row>
    <row r="293" spans="1:10" ht="21.75" customHeight="1" outlineLevel="5">
      <c r="A293" s="51" t="str">
        <f>'Таблица №9'!A299</f>
        <v>Всего </v>
      </c>
      <c r="B293" s="47"/>
      <c r="C293" s="47"/>
      <c r="D293" s="47"/>
      <c r="E293" s="47"/>
      <c r="F293" s="46">
        <f>'Таблица №9'!G299</f>
        <v>-11040.799999999985</v>
      </c>
      <c r="G293" s="46">
        <f>'Таблица №9'!H299</f>
        <v>244130.80000000002</v>
      </c>
      <c r="H293" s="46">
        <f>'Таблица №9'!I299</f>
        <v>7103.399999999986</v>
      </c>
      <c r="I293" s="46">
        <f>'Таблица №9'!J299</f>
        <v>242120.8</v>
      </c>
      <c r="J293" s="46">
        <f>'Таблица №9'!K299</f>
        <v>244195.1</v>
      </c>
    </row>
    <row r="294" spans="7:9" ht="12.75">
      <c r="G294" s="76"/>
      <c r="H294" s="76"/>
      <c r="I294" s="76"/>
    </row>
  </sheetData>
  <sheetProtection/>
  <mergeCells count="6">
    <mergeCell ref="F5:I5"/>
    <mergeCell ref="A6:J6"/>
    <mergeCell ref="C1:J1"/>
    <mergeCell ref="B2:J2"/>
    <mergeCell ref="E3:J3"/>
    <mergeCell ref="A4:J4"/>
  </mergeCells>
  <printOptions horizont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110" zoomScaleNormal="110" zoomScalePageLayoutView="0" workbookViewId="0" topLeftCell="A1">
      <selection activeCell="D2" sqref="D2:G2"/>
    </sheetView>
  </sheetViews>
  <sheetFormatPr defaultColWidth="9.140625" defaultRowHeight="12.75"/>
  <cols>
    <col min="1" max="1" width="6.57421875" style="22" customWidth="1"/>
    <col min="2" max="2" width="48.00390625" style="22" customWidth="1"/>
    <col min="3" max="3" width="12.8515625" style="22" customWidth="1"/>
    <col min="4" max="5" width="13.28125" style="22" customWidth="1"/>
    <col min="6" max="6" width="12.8515625" style="22" customWidth="1"/>
    <col min="7" max="7" width="14.00390625" style="22" customWidth="1"/>
    <col min="8" max="16384" width="9.140625" style="22" customWidth="1"/>
  </cols>
  <sheetData>
    <row r="1" spans="1:7" ht="16.5">
      <c r="A1" s="20" t="s">
        <v>175</v>
      </c>
      <c r="B1" s="21"/>
      <c r="C1" s="20"/>
      <c r="D1" s="129" t="s">
        <v>29</v>
      </c>
      <c r="E1" s="129"/>
      <c r="F1" s="129"/>
      <c r="G1" s="129"/>
    </row>
    <row r="2" spans="1:7" ht="16.5">
      <c r="A2" s="20"/>
      <c r="B2" s="21"/>
      <c r="C2" s="20"/>
      <c r="D2" s="129" t="s">
        <v>173</v>
      </c>
      <c r="E2" s="129"/>
      <c r="F2" s="129"/>
      <c r="G2" s="129"/>
    </row>
    <row r="3" spans="1:7" ht="16.5">
      <c r="A3" s="20"/>
      <c r="B3" s="21"/>
      <c r="C3" s="129" t="s">
        <v>0</v>
      </c>
      <c r="D3" s="129"/>
      <c r="E3" s="129"/>
      <c r="F3" s="129"/>
      <c r="G3" s="129"/>
    </row>
    <row r="4" spans="1:7" ht="16.5">
      <c r="A4" s="20"/>
      <c r="B4" s="21"/>
      <c r="C4" s="20"/>
      <c r="D4" s="129" t="s">
        <v>323</v>
      </c>
      <c r="E4" s="129"/>
      <c r="F4" s="129"/>
      <c r="G4" s="129"/>
    </row>
    <row r="5" spans="1:7" ht="59.25" customHeight="1">
      <c r="A5" s="130" t="s">
        <v>169</v>
      </c>
      <c r="B5" s="130"/>
      <c r="C5" s="130"/>
      <c r="D5" s="130"/>
      <c r="E5" s="130"/>
      <c r="F5" s="130"/>
      <c r="G5" s="130"/>
    </row>
    <row r="6" spans="1:6" ht="16.5">
      <c r="A6" s="23" t="s">
        <v>1</v>
      </c>
      <c r="B6" s="21"/>
      <c r="C6" s="21"/>
      <c r="D6" s="21"/>
      <c r="E6" s="21"/>
      <c r="F6" s="40" t="s">
        <v>43</v>
      </c>
    </row>
    <row r="7" spans="1:7" ht="38.25">
      <c r="A7" s="99" t="s">
        <v>2</v>
      </c>
      <c r="B7" s="99" t="s">
        <v>3</v>
      </c>
      <c r="C7" s="69" t="s">
        <v>159</v>
      </c>
      <c r="D7" s="69" t="s">
        <v>160</v>
      </c>
      <c r="E7" s="69" t="s">
        <v>161</v>
      </c>
      <c r="F7" s="69" t="s">
        <v>45</v>
      </c>
      <c r="G7" s="69" t="s">
        <v>162</v>
      </c>
    </row>
    <row r="8" spans="1:7" ht="16.5" customHeight="1">
      <c r="A8" s="100" t="s">
        <v>224</v>
      </c>
      <c r="B8" s="101" t="s">
        <v>4</v>
      </c>
      <c r="C8" s="102">
        <f>SUM(C9:C17)</f>
        <v>-5516.6900000000005</v>
      </c>
      <c r="D8" s="102">
        <f>SUM(D9:D17)</f>
        <v>57562.009999999995</v>
      </c>
      <c r="E8" s="102">
        <f>SUM(E9:E17)</f>
        <v>-3226.09</v>
      </c>
      <c r="F8" s="102">
        <f>SUM(F9:F17)</f>
        <v>57624.21</v>
      </c>
      <c r="G8" s="102">
        <f>SUM(G9:G17)</f>
        <v>56931.21</v>
      </c>
    </row>
    <row r="9" spans="1:7" ht="29.25" customHeight="1">
      <c r="A9" s="100" t="s">
        <v>225</v>
      </c>
      <c r="B9" s="101" t="s">
        <v>5</v>
      </c>
      <c r="C9" s="102">
        <f>SUM('Таблица №7'!F11)</f>
        <v>1367.1</v>
      </c>
      <c r="D9" s="102">
        <f>SUM('Таблица №7'!G11)</f>
        <v>1367.1</v>
      </c>
      <c r="E9" s="102">
        <f>SUM('Таблица №7'!H11)</f>
        <v>1367.1</v>
      </c>
      <c r="F9" s="102">
        <f>SUM('Таблица №7'!I11)</f>
        <v>1367.1</v>
      </c>
      <c r="G9" s="102">
        <f>SUM('Таблица №7'!J11)</f>
        <v>1367.1</v>
      </c>
    </row>
    <row r="10" spans="1:7" ht="28.5" customHeight="1">
      <c r="A10" s="100" t="s">
        <v>210</v>
      </c>
      <c r="B10" s="101" t="s">
        <v>6</v>
      </c>
      <c r="C10" s="102">
        <f>SUM('Таблица №7'!F14)</f>
        <v>0</v>
      </c>
      <c r="D10" s="102">
        <f>SUM('Таблица №7'!G14)</f>
        <v>380</v>
      </c>
      <c r="E10" s="102">
        <f>SUM('Таблица №7'!H14)</f>
        <v>0</v>
      </c>
      <c r="F10" s="102">
        <f>SUM('Таблица №7'!I14)</f>
        <v>380</v>
      </c>
      <c r="G10" s="102">
        <f>SUM('Таблица №7'!J14)</f>
        <v>380</v>
      </c>
    </row>
    <row r="11" spans="1:7" ht="19.5" customHeight="1">
      <c r="A11" s="100" t="s">
        <v>223</v>
      </c>
      <c r="B11" s="101" t="s">
        <v>7</v>
      </c>
      <c r="C11" s="102">
        <f>SUM('Таблица №7'!F20)</f>
        <v>-1170.8999999999999</v>
      </c>
      <c r="D11" s="102">
        <f>SUM('Таблица №7'!G20)</f>
        <v>27992.5</v>
      </c>
      <c r="E11" s="102">
        <f>SUM('Таблица №7'!H20)</f>
        <v>-1108.6999999999998</v>
      </c>
      <c r="F11" s="102">
        <f>SUM('Таблица №7'!I20)</f>
        <v>28054.7</v>
      </c>
      <c r="G11" s="102">
        <f>SUM('Таблица №7'!J20)</f>
        <v>28091.7</v>
      </c>
    </row>
    <row r="12" spans="1:7" ht="15" customHeight="1">
      <c r="A12" s="100" t="s">
        <v>226</v>
      </c>
      <c r="B12" s="101" t="s">
        <v>218</v>
      </c>
      <c r="C12" s="102">
        <f>SUM('Таблица №9'!G52)</f>
        <v>0</v>
      </c>
      <c r="D12" s="102">
        <f>SUM('Таблица №9'!H52)</f>
        <v>0</v>
      </c>
      <c r="E12" s="102">
        <f>SUM('Таблица №9'!I52)</f>
        <v>0</v>
      </c>
      <c r="F12" s="102">
        <f>SUM('Таблица №9'!J52)</f>
        <v>0</v>
      </c>
      <c r="G12" s="102">
        <f>SUM('Таблица №9'!K52)</f>
        <v>0</v>
      </c>
    </row>
    <row r="13" spans="1:7" ht="42.75" customHeight="1">
      <c r="A13" s="100" t="s">
        <v>214</v>
      </c>
      <c r="B13" s="101" t="s">
        <v>8</v>
      </c>
      <c r="C13" s="102">
        <f>SUM('Таблица №7'!F45)</f>
        <v>0</v>
      </c>
      <c r="D13" s="102">
        <f>SUM('Таблица №7'!G45)</f>
        <v>1486</v>
      </c>
      <c r="E13" s="102">
        <f>SUM('Таблица №7'!H45)</f>
        <v>0</v>
      </c>
      <c r="F13" s="102">
        <f>SUM('Таблица №7'!I45)</f>
        <v>1486</v>
      </c>
      <c r="G13" s="102">
        <f>SUM('Таблица №7'!J45)</f>
        <v>1486</v>
      </c>
    </row>
    <row r="14" spans="1:7" ht="16.5" customHeight="1">
      <c r="A14" s="100" t="s">
        <v>227</v>
      </c>
      <c r="B14" s="101" t="s">
        <v>219</v>
      </c>
      <c r="C14" s="102">
        <f>SUM('Таблица №7'!F52)</f>
        <v>0</v>
      </c>
      <c r="D14" s="102">
        <f>SUM('Таблица №7'!G52)</f>
        <v>0</v>
      </c>
      <c r="E14" s="102">
        <f>SUM('Таблица №7'!H52)</f>
        <v>0</v>
      </c>
      <c r="F14" s="102">
        <f>SUM('Таблица №7'!I52)</f>
        <v>0</v>
      </c>
      <c r="G14" s="102">
        <f>SUM('Таблица №7'!J52)</f>
        <v>0</v>
      </c>
    </row>
    <row r="15" spans="1:7" ht="16.5" customHeight="1">
      <c r="A15" s="100" t="s">
        <v>228</v>
      </c>
      <c r="B15" s="101" t="s">
        <v>9</v>
      </c>
      <c r="C15" s="102">
        <f>SUM('Таблица №7'!F56)</f>
        <v>0</v>
      </c>
      <c r="D15" s="102">
        <f>SUM('Таблица №7'!G56)</f>
        <v>320</v>
      </c>
      <c r="E15" s="102">
        <f>SUM('Таблица №7'!H56)</f>
        <v>0</v>
      </c>
      <c r="F15" s="102">
        <f>SUM('Таблица №7'!I56)</f>
        <v>320</v>
      </c>
      <c r="G15" s="102">
        <f>SUM('Таблица №7'!J56)</f>
        <v>320</v>
      </c>
    </row>
    <row r="16" spans="1:7" ht="16.5" customHeight="1">
      <c r="A16" s="100" t="s">
        <v>211</v>
      </c>
      <c r="B16" s="101" t="s">
        <v>10</v>
      </c>
      <c r="C16" s="102">
        <f>SUM('Таблица №7'!F58)-C17</f>
        <v>666.4099999999999</v>
      </c>
      <c r="D16" s="102">
        <f>SUM('Таблица №7'!G58)-D17</f>
        <v>26016.41</v>
      </c>
      <c r="E16" s="102">
        <f>SUM('Таблица №7'!H58)-E17</f>
        <v>8266.41</v>
      </c>
      <c r="F16" s="102">
        <f>SUM('Таблица №7'!I58)-F17</f>
        <v>26016.41</v>
      </c>
      <c r="G16" s="102">
        <f>SUM('Таблица №7'!J58)-G17</f>
        <v>25286.41</v>
      </c>
    </row>
    <row r="17" spans="1:7" ht="16.5" customHeight="1">
      <c r="A17" s="100" t="s">
        <v>211</v>
      </c>
      <c r="B17" s="101" t="s">
        <v>233</v>
      </c>
      <c r="C17" s="102">
        <f>SUM('Таблица №7'!F90)</f>
        <v>-6379.3</v>
      </c>
      <c r="D17" s="102">
        <f>SUM('Таблица №7'!G90)</f>
        <v>0</v>
      </c>
      <c r="E17" s="102">
        <f>SUM('Таблица №7'!H90)</f>
        <v>-11750.9</v>
      </c>
      <c r="F17" s="102">
        <f>SUM('Таблица №7'!I90)</f>
        <v>0</v>
      </c>
      <c r="G17" s="102">
        <f>SUM('Таблица №7'!J90)</f>
        <v>0</v>
      </c>
    </row>
    <row r="18" spans="1:7" ht="16.5" customHeight="1">
      <c r="A18" s="100" t="s">
        <v>310</v>
      </c>
      <c r="B18" s="101" t="s">
        <v>11</v>
      </c>
      <c r="C18" s="102">
        <f>SUM(C19)</f>
        <v>0</v>
      </c>
      <c r="D18" s="102">
        <f>SUM(D19)</f>
        <v>20</v>
      </c>
      <c r="E18" s="102">
        <f>SUM(E19)</f>
        <v>0</v>
      </c>
      <c r="F18" s="102">
        <f>SUM(F19)</f>
        <v>20</v>
      </c>
      <c r="G18" s="102">
        <f>SUM(G19)</f>
        <v>20</v>
      </c>
    </row>
    <row r="19" spans="1:7" ht="16.5" customHeight="1">
      <c r="A19" s="100" t="s">
        <v>237</v>
      </c>
      <c r="B19" s="101" t="s">
        <v>236</v>
      </c>
      <c r="C19" s="102">
        <f>SUM('Таблица №7'!F91)</f>
        <v>0</v>
      </c>
      <c r="D19" s="102">
        <f>SUM('Таблица №7'!G91)</f>
        <v>20</v>
      </c>
      <c r="E19" s="102">
        <f>SUM('Таблица №7'!H91)</f>
        <v>0</v>
      </c>
      <c r="F19" s="102">
        <f>SUM('Таблица №7'!I91)</f>
        <v>20</v>
      </c>
      <c r="G19" s="102">
        <f>SUM('Таблица №7'!J91)</f>
        <v>20</v>
      </c>
    </row>
    <row r="20" spans="1:7" ht="27.75" customHeight="1">
      <c r="A20" s="100" t="s">
        <v>311</v>
      </c>
      <c r="B20" s="101" t="s">
        <v>315</v>
      </c>
      <c r="C20" s="102">
        <f>SUM(C21:C21)</f>
        <v>0</v>
      </c>
      <c r="D20" s="102">
        <f>SUM(D21:D21)</f>
        <v>70</v>
      </c>
      <c r="E20" s="102">
        <f>SUM(E21:E21)</f>
        <v>0</v>
      </c>
      <c r="F20" s="102">
        <f>SUM(F21:F21)</f>
        <v>70</v>
      </c>
      <c r="G20" s="102">
        <f>SUM(G21:G21)</f>
        <v>70</v>
      </c>
    </row>
    <row r="21" spans="1:7" ht="42.75" customHeight="1">
      <c r="A21" s="100" t="s">
        <v>238</v>
      </c>
      <c r="B21" s="101" t="s">
        <v>12</v>
      </c>
      <c r="C21" s="102">
        <f>SUM('Таблица №7'!F96)</f>
        <v>0</v>
      </c>
      <c r="D21" s="102">
        <f>SUM('Таблица №7'!G96)</f>
        <v>70</v>
      </c>
      <c r="E21" s="102">
        <f>SUM('Таблица №7'!H96)</f>
        <v>0</v>
      </c>
      <c r="F21" s="102">
        <f>SUM('Таблица №7'!I96)</f>
        <v>70</v>
      </c>
      <c r="G21" s="102">
        <f>SUM('Таблица №7'!J96)</f>
        <v>70</v>
      </c>
    </row>
    <row r="22" spans="1:7" ht="15.75" customHeight="1">
      <c r="A22" s="100" t="s">
        <v>249</v>
      </c>
      <c r="B22" s="101" t="s">
        <v>318</v>
      </c>
      <c r="C22" s="102">
        <f>SUM(C23:C25)</f>
        <v>4416.200000000001</v>
      </c>
      <c r="D22" s="102">
        <f>SUM(D23:D25)</f>
        <v>8238.900000000001</v>
      </c>
      <c r="E22" s="102">
        <f>SUM(E23:E25)</f>
        <v>3483</v>
      </c>
      <c r="F22" s="102">
        <f>SUM(F23:F25)</f>
        <v>7305.7</v>
      </c>
      <c r="G22" s="102">
        <f>SUM(G23:G25)</f>
        <v>5750</v>
      </c>
    </row>
    <row r="23" spans="1:7" ht="15.75" customHeight="1">
      <c r="A23" s="100" t="s">
        <v>34</v>
      </c>
      <c r="B23" s="101" t="s">
        <v>33</v>
      </c>
      <c r="C23" s="102">
        <f>SUM('Таблица №7'!F104)</f>
        <v>-3.7</v>
      </c>
      <c r="D23" s="102">
        <f>SUM('Таблица №7'!G104)</f>
        <v>21.3</v>
      </c>
      <c r="E23" s="102">
        <f>SUM('Таблица №7'!H104)</f>
        <v>16</v>
      </c>
      <c r="F23" s="102">
        <f>SUM('Таблица №7'!I104)</f>
        <v>41</v>
      </c>
      <c r="G23" s="102">
        <f>SUM('Таблица №7'!J104)</f>
        <v>24.8</v>
      </c>
    </row>
    <row r="24" spans="1:7" ht="15.75" customHeight="1">
      <c r="A24" s="100" t="s">
        <v>239</v>
      </c>
      <c r="B24" s="101" t="s">
        <v>319</v>
      </c>
      <c r="C24" s="102">
        <f>SUM('Таблица №7'!F108)</f>
        <v>1564.9000000000005</v>
      </c>
      <c r="D24" s="102">
        <f>SUM('Таблица №7'!G108)</f>
        <v>4962.6</v>
      </c>
      <c r="E24" s="102">
        <f>SUM('Таблица №7'!H108)</f>
        <v>1495.5</v>
      </c>
      <c r="F24" s="102">
        <f>SUM('Таблица №7'!I108)</f>
        <v>4893.2</v>
      </c>
      <c r="G24" s="102">
        <f>SUM('Таблица №7'!J108)</f>
        <v>5007.2</v>
      </c>
    </row>
    <row r="25" spans="1:7" ht="15.75" customHeight="1">
      <c r="A25" s="100" t="s">
        <v>241</v>
      </c>
      <c r="B25" s="101" t="s">
        <v>320</v>
      </c>
      <c r="C25" s="102">
        <f>SUM('Таблица №7'!F114)</f>
        <v>2855</v>
      </c>
      <c r="D25" s="102">
        <f>SUM('Таблица №7'!G114)</f>
        <v>3255</v>
      </c>
      <c r="E25" s="102">
        <f>SUM('Таблица №7'!H114)</f>
        <v>1971.5</v>
      </c>
      <c r="F25" s="102">
        <f>SUM('Таблица №7'!I114)</f>
        <v>2371.5</v>
      </c>
      <c r="G25" s="102">
        <f>SUM('Таблица №7'!J114)</f>
        <v>718</v>
      </c>
    </row>
    <row r="26" spans="1:7" ht="15.75" customHeight="1">
      <c r="A26" s="100" t="s">
        <v>245</v>
      </c>
      <c r="B26" s="101" t="s">
        <v>13</v>
      </c>
      <c r="C26" s="102">
        <f>SUM(C27:C29)</f>
        <v>6121.099999999999</v>
      </c>
      <c r="D26" s="102">
        <f>SUM(D27:D29)</f>
        <v>6669.9</v>
      </c>
      <c r="E26" s="102">
        <f>SUM(E27:E29)</f>
        <v>-132.3</v>
      </c>
      <c r="F26" s="102">
        <f>SUM(F27:F29)</f>
        <v>410</v>
      </c>
      <c r="G26" s="102">
        <f>SUM(G27:G29)</f>
        <v>0</v>
      </c>
    </row>
    <row r="27" spans="1:7" ht="15.75" customHeight="1">
      <c r="A27" s="100" t="s">
        <v>57</v>
      </c>
      <c r="B27" s="101" t="s">
        <v>56</v>
      </c>
      <c r="C27" s="102">
        <f>SUM('Таблица №7'!F127)</f>
        <v>0</v>
      </c>
      <c r="D27" s="102">
        <f>SUM('Таблица №7'!G127)</f>
        <v>0</v>
      </c>
      <c r="E27" s="102">
        <f>SUM('Таблица №7'!H127)</f>
        <v>0</v>
      </c>
      <c r="F27" s="102">
        <f>SUM('Таблица №7'!I127)</f>
        <v>0</v>
      </c>
      <c r="G27" s="102">
        <f>SUM('Таблица №7'!J127)</f>
        <v>0</v>
      </c>
    </row>
    <row r="28" spans="1:7" ht="15.75" customHeight="1">
      <c r="A28" s="100" t="s">
        <v>246</v>
      </c>
      <c r="B28" s="101" t="s">
        <v>242</v>
      </c>
      <c r="C28" s="102">
        <f>SUM('Таблица №7'!F130)</f>
        <v>6121.099999999999</v>
      </c>
      <c r="D28" s="102">
        <f>SUM('Таблица №7'!G130)</f>
        <v>6669.9</v>
      </c>
      <c r="E28" s="102">
        <f>SUM('Таблица №7'!H130)</f>
        <v>-132.3</v>
      </c>
      <c r="F28" s="102">
        <f>SUM('Таблица №7'!I130)</f>
        <v>410</v>
      </c>
      <c r="G28" s="102">
        <f>SUM('Таблица №7'!J130)</f>
        <v>0</v>
      </c>
    </row>
    <row r="29" spans="1:7" ht="15.75" customHeight="1">
      <c r="A29" s="100" t="s">
        <v>14</v>
      </c>
      <c r="B29" s="101" t="s">
        <v>15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</row>
    <row r="30" spans="1:7" ht="15.75" customHeight="1">
      <c r="A30" s="100" t="s">
        <v>312</v>
      </c>
      <c r="B30" s="101" t="s">
        <v>247</v>
      </c>
      <c r="C30" s="102">
        <f>SUM(C31)</f>
        <v>0</v>
      </c>
      <c r="D30" s="102">
        <f>SUM(D31)</f>
        <v>50</v>
      </c>
      <c r="E30" s="102">
        <f>SUM(E31)</f>
        <v>0</v>
      </c>
      <c r="F30" s="102">
        <f>SUM(F31)</f>
        <v>50</v>
      </c>
      <c r="G30" s="102">
        <f>SUM(G31)</f>
        <v>0</v>
      </c>
    </row>
    <row r="31" spans="1:7" ht="15.75" customHeight="1">
      <c r="A31" s="100" t="s">
        <v>250</v>
      </c>
      <c r="B31" s="101" t="s">
        <v>248</v>
      </c>
      <c r="C31" s="102">
        <f>SUM('Таблица №7'!F144)</f>
        <v>0</v>
      </c>
      <c r="D31" s="102">
        <f>SUM('Таблица №7'!G144)</f>
        <v>50</v>
      </c>
      <c r="E31" s="102">
        <f>SUM('Таблица №7'!H144)</f>
        <v>0</v>
      </c>
      <c r="F31" s="102">
        <f>SUM('Таблица №7'!I144)</f>
        <v>50</v>
      </c>
      <c r="G31" s="102">
        <f>SUM('Таблица №7'!J144)</f>
        <v>0</v>
      </c>
    </row>
    <row r="32" spans="1:7" ht="18" customHeight="1">
      <c r="A32" s="100" t="s">
        <v>254</v>
      </c>
      <c r="B32" s="101" t="s">
        <v>251</v>
      </c>
      <c r="C32" s="102">
        <f>SUM(C33:C36)</f>
        <v>-23819.709999999985</v>
      </c>
      <c r="D32" s="102">
        <f>SUM(D33:D36)</f>
        <v>138721.59000000003</v>
      </c>
      <c r="E32" s="102">
        <f>SUM(E33:E36)</f>
        <v>-579.0100000000143</v>
      </c>
      <c r="F32" s="102">
        <f>SUM(F33:F36)</f>
        <v>148555.38999999998</v>
      </c>
      <c r="G32" s="102">
        <f>SUM(G33:G36)</f>
        <v>153033.69</v>
      </c>
    </row>
    <row r="33" spans="1:7" ht="18" customHeight="1">
      <c r="A33" s="100" t="s">
        <v>253</v>
      </c>
      <c r="B33" s="101" t="s">
        <v>252</v>
      </c>
      <c r="C33" s="102">
        <f>SUM('Таблица №7'!F148)</f>
        <v>-3621.2</v>
      </c>
      <c r="D33" s="102">
        <f>SUM('Таблица №7'!G148)</f>
        <v>23864.7</v>
      </c>
      <c r="E33" s="102">
        <f>SUM('Таблица №7'!H148)</f>
        <v>1320.8000000000002</v>
      </c>
      <c r="F33" s="102">
        <f>SUM('Таблица №7'!I148)</f>
        <v>24506.7</v>
      </c>
      <c r="G33" s="102">
        <f>SUM('Таблица №7'!J148)</f>
        <v>26388.3</v>
      </c>
    </row>
    <row r="34" spans="1:7" ht="18" customHeight="1">
      <c r="A34" s="100" t="s">
        <v>255</v>
      </c>
      <c r="B34" s="101" t="s">
        <v>261</v>
      </c>
      <c r="C34" s="102">
        <f>SUM('Таблица №7'!F161)</f>
        <v>-21152.699999999983</v>
      </c>
      <c r="D34" s="102">
        <f>SUM('Таблица №7'!G161)</f>
        <v>107545.70000000001</v>
      </c>
      <c r="E34" s="102">
        <f>SUM('Таблица №7'!H161)</f>
        <v>-3954.0000000000146</v>
      </c>
      <c r="F34" s="102">
        <f>SUM('Таблица №7'!I161)</f>
        <v>117037.49999999999</v>
      </c>
      <c r="G34" s="102">
        <f>SUM('Таблица №7'!J161)</f>
        <v>119259.2</v>
      </c>
    </row>
    <row r="35" spans="1:7" ht="18" customHeight="1">
      <c r="A35" s="100" t="s">
        <v>262</v>
      </c>
      <c r="B35" s="101" t="s">
        <v>16</v>
      </c>
      <c r="C35" s="102">
        <f>SUM('Таблица №7'!F208)</f>
        <v>929.19</v>
      </c>
      <c r="D35" s="102">
        <f>SUM('Таблица №7'!G208)</f>
        <v>6661.1900000000005</v>
      </c>
      <c r="E35" s="102">
        <f>SUM('Таблица №7'!H208)</f>
        <v>2029.19</v>
      </c>
      <c r="F35" s="102">
        <f>SUM('Таблица №7'!I208)</f>
        <v>6361.1900000000005</v>
      </c>
      <c r="G35" s="102">
        <f>SUM('Таблица №7'!J208)</f>
        <v>6761.1900000000005</v>
      </c>
    </row>
    <row r="36" spans="1:7" ht="18" customHeight="1">
      <c r="A36" s="100" t="s">
        <v>265</v>
      </c>
      <c r="B36" s="101" t="s">
        <v>264</v>
      </c>
      <c r="C36" s="102">
        <f>SUM('Таблица №7'!F227)</f>
        <v>25</v>
      </c>
      <c r="D36" s="102">
        <f>SUM('Таблица №7'!G227)</f>
        <v>650</v>
      </c>
      <c r="E36" s="102">
        <f>SUM('Таблица №7'!H227)</f>
        <v>25</v>
      </c>
      <c r="F36" s="102">
        <f>SUM('Таблица №7'!I227)</f>
        <v>650</v>
      </c>
      <c r="G36" s="102">
        <f>SUM('Таблица №7'!J227)</f>
        <v>625</v>
      </c>
    </row>
    <row r="37" spans="1:7" ht="18" customHeight="1">
      <c r="A37" s="100" t="s">
        <v>313</v>
      </c>
      <c r="B37" s="101" t="s">
        <v>17</v>
      </c>
      <c r="C37" s="102">
        <f>SUM(C38:C40)</f>
        <v>-50</v>
      </c>
      <c r="D37" s="102">
        <f>SUM(D38:D40)</f>
        <v>10550</v>
      </c>
      <c r="E37" s="102">
        <f>SUM(E38:E40)</f>
        <v>3550</v>
      </c>
      <c r="F37" s="102">
        <f>SUM(F38:F40)</f>
        <v>10550</v>
      </c>
      <c r="G37" s="102">
        <f>SUM(G38:G40)</f>
        <v>11900</v>
      </c>
    </row>
    <row r="38" spans="1:7" ht="18" customHeight="1">
      <c r="A38" s="100" t="s">
        <v>272</v>
      </c>
      <c r="B38" s="101" t="s">
        <v>314</v>
      </c>
      <c r="C38" s="102">
        <f>SUM('Таблица №7'!F235+'Таблица №7'!F237+'Таблица №7'!F240+'Таблица №7'!F243+'Таблица №7'!F245)</f>
        <v>-50</v>
      </c>
      <c r="D38" s="102">
        <f>SUM('Таблица №7'!G235+'Таблица №7'!G237+'Таблица №7'!G240+'Таблица №7'!G243+'Таблица №7'!G245)</f>
        <v>9395</v>
      </c>
      <c r="E38" s="102">
        <f>SUM('Таблица №7'!H235+'Таблица №7'!H237+'Таблица №7'!H240+'Таблица №7'!H243+'Таблица №7'!H245)</f>
        <v>3152</v>
      </c>
      <c r="F38" s="102">
        <f>SUM('Таблица №7'!I235+'Таблица №7'!I237+'Таблица №7'!I240+'Таблица №7'!I243+'Таблица №7'!I245)</f>
        <v>9395</v>
      </c>
      <c r="G38" s="102">
        <f>SUM('Таблица №7'!J235+'Таблица №7'!J237+'Таблица №7'!J240+'Таблица №7'!J243+'Таблица №7'!J245)</f>
        <v>10500</v>
      </c>
    </row>
    <row r="39" spans="1:7" ht="18" customHeight="1">
      <c r="A39" s="100" t="s">
        <v>273</v>
      </c>
      <c r="B39" s="101" t="s">
        <v>270</v>
      </c>
      <c r="C39" s="102">
        <f>SUM('Таблица №7'!F249)</f>
        <v>0</v>
      </c>
      <c r="D39" s="102">
        <f>SUM('Таблица №7'!G249)</f>
        <v>309</v>
      </c>
      <c r="E39" s="102">
        <f>SUM('Таблица №7'!H249)</f>
        <v>106</v>
      </c>
      <c r="F39" s="102">
        <f>SUM('Таблица №7'!I249)</f>
        <v>309</v>
      </c>
      <c r="G39" s="102">
        <f>SUM('Таблица №7'!J249)</f>
        <v>400</v>
      </c>
    </row>
    <row r="40" spans="1:7" ht="31.5" customHeight="1">
      <c r="A40" s="100" t="s">
        <v>274</v>
      </c>
      <c r="B40" s="101" t="s">
        <v>271</v>
      </c>
      <c r="C40" s="102">
        <f>SUM('Таблица №7'!F251)</f>
        <v>0</v>
      </c>
      <c r="D40" s="102">
        <f>SUM('Таблица №7'!G251)</f>
        <v>846</v>
      </c>
      <c r="E40" s="102">
        <f>SUM('Таблица №7'!H251)</f>
        <v>292</v>
      </c>
      <c r="F40" s="102">
        <f>SUM('Таблица №7'!I251)</f>
        <v>846</v>
      </c>
      <c r="G40" s="102">
        <f>SUM('Таблица №7'!J251)</f>
        <v>1000</v>
      </c>
    </row>
    <row r="41" spans="1:7" ht="18" customHeight="1">
      <c r="A41" s="100">
        <v>1000</v>
      </c>
      <c r="B41" s="101" t="s">
        <v>275</v>
      </c>
      <c r="C41" s="102">
        <f>SUM(C42:C44)</f>
        <v>2685.2999999999997</v>
      </c>
      <c r="D41" s="102">
        <f>SUM(D42:D44)</f>
        <v>15525.4</v>
      </c>
      <c r="E41" s="102">
        <f>SUM(E42:E44)</f>
        <v>3607.8</v>
      </c>
      <c r="F41" s="102">
        <f>SUM(F42:F44)</f>
        <v>15735.5</v>
      </c>
      <c r="G41" s="102">
        <f>SUM(G42:G44)</f>
        <v>15290.2</v>
      </c>
    </row>
    <row r="42" spans="1:7" ht="18" customHeight="1">
      <c r="A42" s="100">
        <v>1001</v>
      </c>
      <c r="B42" s="101" t="s">
        <v>276</v>
      </c>
      <c r="C42" s="102">
        <f>SUM('Таблица №7'!F254)</f>
        <v>600</v>
      </c>
      <c r="D42" s="102">
        <f>SUM('Таблица №7'!G254)</f>
        <v>2000</v>
      </c>
      <c r="E42" s="102">
        <f>SUM('Таблица №7'!H254)</f>
        <v>600</v>
      </c>
      <c r="F42" s="102">
        <f>SUM('Таблица №7'!I254)</f>
        <v>2000</v>
      </c>
      <c r="G42" s="102">
        <f>SUM('Таблица №7'!J254)</f>
        <v>2000</v>
      </c>
    </row>
    <row r="43" spans="1:7" ht="18" customHeight="1">
      <c r="A43" s="100">
        <v>1003</v>
      </c>
      <c r="B43" s="101" t="s">
        <v>280</v>
      </c>
      <c r="C43" s="102">
        <f>SUM('Таблица №7'!F257)</f>
        <v>1611.7</v>
      </c>
      <c r="D43" s="102">
        <f>SUM('Таблица №7'!G257)</f>
        <v>9490.8</v>
      </c>
      <c r="E43" s="102">
        <f>SUM('Таблица №7'!H257)</f>
        <v>2233.5</v>
      </c>
      <c r="F43" s="102">
        <f>SUM('Таблица №7'!I257)</f>
        <v>9400.2</v>
      </c>
      <c r="G43" s="102">
        <f>SUM('Таблица №7'!J257)</f>
        <v>8954.900000000001</v>
      </c>
    </row>
    <row r="44" spans="1:7" ht="18" customHeight="1">
      <c r="A44" s="100">
        <v>1004</v>
      </c>
      <c r="B44" s="101" t="s">
        <v>18</v>
      </c>
      <c r="C44" s="102">
        <f>SUM('Таблица №7'!F268)</f>
        <v>473.6</v>
      </c>
      <c r="D44" s="102">
        <f>SUM('Таблица №7'!G268)</f>
        <v>4034.6</v>
      </c>
      <c r="E44" s="102">
        <f>SUM('Таблица №7'!H268)</f>
        <v>774.3</v>
      </c>
      <c r="F44" s="102">
        <f>SUM('Таблица №7'!I268)</f>
        <v>4335.3</v>
      </c>
      <c r="G44" s="102">
        <f>SUM('Таблица №7'!J268)</f>
        <v>4335.3</v>
      </c>
    </row>
    <row r="45" spans="1:7" ht="18" customHeight="1">
      <c r="A45" s="100" t="s">
        <v>19</v>
      </c>
      <c r="B45" s="101" t="s">
        <v>20</v>
      </c>
      <c r="C45" s="102">
        <f>SUM(C46)</f>
        <v>-100</v>
      </c>
      <c r="D45" s="102">
        <f>SUM(D46)</f>
        <v>600</v>
      </c>
      <c r="E45" s="102">
        <f>SUM(E46)</f>
        <v>-100</v>
      </c>
      <c r="F45" s="102">
        <f>SUM(F46)</f>
        <v>600</v>
      </c>
      <c r="G45" s="102">
        <f>SUM(G46)</f>
        <v>0</v>
      </c>
    </row>
    <row r="46" spans="1:7" ht="18" customHeight="1">
      <c r="A46" s="100" t="s">
        <v>285</v>
      </c>
      <c r="B46" s="101" t="s">
        <v>20</v>
      </c>
      <c r="C46" s="102">
        <f>SUM('Таблица №7'!F276)</f>
        <v>-100</v>
      </c>
      <c r="D46" s="102">
        <f>SUM('Таблица №7'!G276)</f>
        <v>600</v>
      </c>
      <c r="E46" s="102">
        <f>SUM('Таблица №7'!H276)</f>
        <v>-100</v>
      </c>
      <c r="F46" s="102">
        <f>SUM('Таблица №7'!I276)</f>
        <v>600</v>
      </c>
      <c r="G46" s="102">
        <f>SUM('Таблица №7'!J276)</f>
        <v>0</v>
      </c>
    </row>
    <row r="47" spans="1:7" ht="18" customHeight="1">
      <c r="A47" s="100" t="s">
        <v>21</v>
      </c>
      <c r="B47" s="101" t="s">
        <v>286</v>
      </c>
      <c r="C47" s="102">
        <f>SUM(C48:C49)</f>
        <v>500</v>
      </c>
      <c r="D47" s="102">
        <f>SUM(D48:D49)</f>
        <v>1200</v>
      </c>
      <c r="E47" s="102">
        <f>SUM(E48:E49)</f>
        <v>500</v>
      </c>
      <c r="F47" s="102">
        <f>SUM(F48:F49)</f>
        <v>1200</v>
      </c>
      <c r="G47" s="102">
        <f>SUM(G48:G49)</f>
        <v>1200</v>
      </c>
    </row>
    <row r="48" spans="1:7" ht="18" customHeight="1">
      <c r="A48" s="100" t="s">
        <v>121</v>
      </c>
      <c r="B48" s="101" t="s">
        <v>120</v>
      </c>
      <c r="C48" s="102">
        <f>SUM('Таблица №9'!G286)</f>
        <v>0</v>
      </c>
      <c r="D48" s="102">
        <f>SUM('Таблица №9'!H286)</f>
        <v>0</v>
      </c>
      <c r="E48" s="102">
        <f>SUM('Таблица №9'!I286)</f>
        <v>0</v>
      </c>
      <c r="F48" s="102">
        <f>SUM('Таблица №9'!J286)</f>
        <v>0</v>
      </c>
      <c r="G48" s="102">
        <f>SUM('Таблица №9'!K286)</f>
        <v>0</v>
      </c>
    </row>
    <row r="49" spans="1:7" ht="18" customHeight="1">
      <c r="A49" s="100" t="s">
        <v>288</v>
      </c>
      <c r="B49" s="101" t="s">
        <v>287</v>
      </c>
      <c r="C49" s="102">
        <f>SUM('Таблица №9'!G287)</f>
        <v>500</v>
      </c>
      <c r="D49" s="102">
        <f>SUM('Таблица №9'!H287)</f>
        <v>1200</v>
      </c>
      <c r="E49" s="102">
        <f>SUM('Таблица №9'!I287)</f>
        <v>500</v>
      </c>
      <c r="F49" s="102">
        <f>SUM('Таблица №9'!J287)</f>
        <v>1200</v>
      </c>
      <c r="G49" s="102">
        <f>SUM('Таблица №9'!K287)</f>
        <v>1200</v>
      </c>
    </row>
    <row r="50" spans="1:7" ht="29.25" customHeight="1">
      <c r="A50" s="100" t="s">
        <v>22</v>
      </c>
      <c r="B50" s="101" t="s">
        <v>289</v>
      </c>
      <c r="C50" s="102">
        <f>SUM(C51:C51)</f>
        <v>0</v>
      </c>
      <c r="D50" s="102">
        <f>SUM(D51:D51)</f>
        <v>200</v>
      </c>
      <c r="E50" s="102">
        <f>SUM(E51:E51)</f>
        <v>0</v>
      </c>
      <c r="F50" s="102">
        <f>SUM(F51:F51)</f>
        <v>0</v>
      </c>
      <c r="G50" s="102">
        <f>SUM(G51:G51)</f>
        <v>0</v>
      </c>
    </row>
    <row r="51" spans="1:7" ht="31.5" customHeight="1">
      <c r="A51" s="100" t="s">
        <v>291</v>
      </c>
      <c r="B51" s="101" t="s">
        <v>290</v>
      </c>
      <c r="C51" s="102">
        <f>SUM('Таблица №7'!F285)</f>
        <v>0</v>
      </c>
      <c r="D51" s="102">
        <f>SUM('Таблица №7'!G285)</f>
        <v>200</v>
      </c>
      <c r="E51" s="102">
        <f>SUM('Таблица №7'!H285)</f>
        <v>0</v>
      </c>
      <c r="F51" s="102">
        <f>SUM('Таблица №7'!I285)</f>
        <v>0</v>
      </c>
      <c r="G51" s="102">
        <f>SUM('Таблица №7'!J285)</f>
        <v>0</v>
      </c>
    </row>
    <row r="52" spans="1:7" ht="43.5" customHeight="1">
      <c r="A52" s="100" t="s">
        <v>73</v>
      </c>
      <c r="B52" s="101" t="s">
        <v>72</v>
      </c>
      <c r="C52" s="102">
        <f>SUM(C53:C53)</f>
        <v>4723</v>
      </c>
      <c r="D52" s="102">
        <f>SUM(D53:D53)</f>
        <v>4723</v>
      </c>
      <c r="E52" s="102">
        <f>SUM(E53:E53)</f>
        <v>0</v>
      </c>
      <c r="F52" s="102">
        <f>SUM(F53:F53)</f>
        <v>0</v>
      </c>
      <c r="G52" s="102">
        <f>SUM(G53:G53)</f>
        <v>0</v>
      </c>
    </row>
    <row r="53" spans="1:7" ht="31.5" customHeight="1">
      <c r="A53" s="100" t="s">
        <v>75</v>
      </c>
      <c r="B53" s="101" t="s">
        <v>74</v>
      </c>
      <c r="C53" s="102">
        <f>SUM('Таблица №9'!G297)</f>
        <v>4723</v>
      </c>
      <c r="D53" s="102">
        <f>SUM('Таблица №9'!H297)</f>
        <v>4723</v>
      </c>
      <c r="E53" s="102">
        <f>SUM('Таблица №9'!I297)</f>
        <v>0</v>
      </c>
      <c r="F53" s="102">
        <f>SUM('Таблица №9'!J297)</f>
        <v>0</v>
      </c>
      <c r="G53" s="102">
        <f>SUM('Таблица №9'!K297)</f>
        <v>0</v>
      </c>
    </row>
    <row r="54" spans="1:7" ht="21" customHeight="1">
      <c r="A54" s="100"/>
      <c r="B54" s="103" t="s">
        <v>23</v>
      </c>
      <c r="C54" s="102">
        <f>C8+C18+C20+C22+C26+C30+C32+C37+C41+C45+C47+C50+C52</f>
        <v>-11040.799999999985</v>
      </c>
      <c r="D54" s="102">
        <f>D8+D18+D20+D22+D26+D30+D32+D37+D41+D45+D47+D50+D52</f>
        <v>244130.80000000002</v>
      </c>
      <c r="E54" s="102">
        <f>E8+E18+E20+E22+E26+E30+E32+E37+E41+E45+E47+E50+E52</f>
        <v>7103.399999999985</v>
      </c>
      <c r="F54" s="102">
        <f>F8+F18+F20+F22+F26+F30+F32+F37+F41+F45+F47+F50+F52</f>
        <v>242120.8</v>
      </c>
      <c r="G54" s="102">
        <f>G8+G18+G20+G22+G26+G30+G32+G37+G41+G45+G47+G50+G52</f>
        <v>244195.1</v>
      </c>
    </row>
  </sheetData>
  <sheetProtection/>
  <mergeCells count="5">
    <mergeCell ref="C3:G3"/>
    <mergeCell ref="A5:G5"/>
    <mergeCell ref="D1:G1"/>
    <mergeCell ref="D2:G2"/>
    <mergeCell ref="D4:G4"/>
  </mergeCells>
  <printOptions/>
  <pageMargins left="0.5118110236220472" right="0" top="0.7480314960629921" bottom="0.15748031496062992" header="0.31496062992125984" footer="0"/>
  <pageSetup fitToHeight="2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67"/>
  <sheetViews>
    <sheetView showGridLines="0" zoomScalePageLayoutView="0" workbookViewId="0" topLeftCell="A1">
      <pane ySplit="8" topLeftCell="BM12" activePane="bottomLeft" state="frozen"/>
      <selection pane="topLeft" activeCell="A1" sqref="A1"/>
      <selection pane="bottomLeft" activeCell="E8" sqref="E8"/>
    </sheetView>
  </sheetViews>
  <sheetFormatPr defaultColWidth="9.140625" defaultRowHeight="12.75" outlineLevelRow="5"/>
  <cols>
    <col min="1" max="1" width="45.140625" style="7" customWidth="1"/>
    <col min="2" max="2" width="7.7109375" style="12" customWidth="1"/>
    <col min="3" max="3" width="7.7109375" style="13" customWidth="1"/>
    <col min="4" max="4" width="9.28125" style="11" customWidth="1"/>
    <col min="5" max="5" width="12.140625" style="15" customWidth="1"/>
    <col min="6" max="7" width="13.140625" style="15" customWidth="1"/>
    <col min="8" max="8" width="13.421875" style="15" customWidth="1"/>
    <col min="9" max="9" width="12.28125" style="2" customWidth="1"/>
    <col min="10" max="16384" width="9.140625" style="2" customWidth="1"/>
  </cols>
  <sheetData>
    <row r="1" spans="5:9" ht="18.75">
      <c r="E1" s="125" t="s">
        <v>30</v>
      </c>
      <c r="F1" s="125"/>
      <c r="G1" s="125"/>
      <c r="H1" s="125"/>
      <c r="I1" s="25"/>
    </row>
    <row r="2" spans="5:9" ht="18.75">
      <c r="E2" s="125" t="s">
        <v>25</v>
      </c>
      <c r="F2" s="125"/>
      <c r="G2" s="125"/>
      <c r="H2" s="125"/>
      <c r="I2" s="25"/>
    </row>
    <row r="3" spans="5:9" ht="18.75">
      <c r="E3" s="125" t="s">
        <v>26</v>
      </c>
      <c r="F3" s="125"/>
      <c r="G3" s="125"/>
      <c r="H3" s="125"/>
      <c r="I3" s="25"/>
    </row>
    <row r="4" spans="1:9" ht="21.75" customHeight="1">
      <c r="A4" s="8"/>
      <c r="B4" s="1"/>
      <c r="C4" s="5"/>
      <c r="D4" s="10"/>
      <c r="E4" s="125" t="s">
        <v>323</v>
      </c>
      <c r="F4" s="125"/>
      <c r="G4" s="125"/>
      <c r="H4" s="125"/>
      <c r="I4" s="25"/>
    </row>
    <row r="5" spans="1:9" ht="53.25" customHeight="1">
      <c r="A5" s="131" t="s">
        <v>167</v>
      </c>
      <c r="B5" s="131"/>
      <c r="C5" s="131"/>
      <c r="D5" s="131"/>
      <c r="E5" s="131"/>
      <c r="F5" s="131"/>
      <c r="G5" s="131"/>
      <c r="H5" s="131"/>
      <c r="I5" s="131"/>
    </row>
    <row r="6" spans="1:8" ht="12.75" hidden="1">
      <c r="A6" s="41"/>
      <c r="B6" s="36"/>
      <c r="C6" s="37"/>
      <c r="D6" s="42"/>
      <c r="E6" s="38"/>
      <c r="F6" s="38"/>
      <c r="G6" s="38"/>
      <c r="H6" s="38"/>
    </row>
    <row r="7" spans="1:8" ht="12.75">
      <c r="A7" s="41"/>
      <c r="B7" s="36"/>
      <c r="C7" s="37"/>
      <c r="D7" s="42"/>
      <c r="E7" s="38"/>
      <c r="F7" s="38"/>
      <c r="G7" s="38"/>
      <c r="H7" s="48" t="s">
        <v>39</v>
      </c>
    </row>
    <row r="8" spans="1:9" ht="72.75" customHeight="1">
      <c r="A8" s="104" t="s">
        <v>177</v>
      </c>
      <c r="B8" s="105" t="s">
        <v>80</v>
      </c>
      <c r="C8" s="106" t="s">
        <v>185</v>
      </c>
      <c r="D8" s="96" t="s">
        <v>79</v>
      </c>
      <c r="E8" s="69" t="s">
        <v>159</v>
      </c>
      <c r="F8" s="69" t="s">
        <v>160</v>
      </c>
      <c r="G8" s="69" t="s">
        <v>161</v>
      </c>
      <c r="H8" s="69" t="s">
        <v>45</v>
      </c>
      <c r="I8" s="69" t="s">
        <v>162</v>
      </c>
    </row>
    <row r="9" spans="1:9" ht="50.25" customHeight="1" outlineLevel="2">
      <c r="A9" s="80" t="str">
        <f>'Таблица №9'!A50</f>
        <v>Муниципальная программа  "Развитие муниципальной службы в администрации Алексеевского муниципального района Волгоградской области на 2016-2018 годы"</v>
      </c>
      <c r="B9" s="84" t="str">
        <f>'Таблица №9'!D50</f>
        <v>01</v>
      </c>
      <c r="C9" s="84">
        <f>'Таблица №9'!E50</f>
        <v>0</v>
      </c>
      <c r="D9" s="84" t="s">
        <v>81</v>
      </c>
      <c r="E9" s="82">
        <f>SUM('Таблица №9'!G50)</f>
        <v>0</v>
      </c>
      <c r="F9" s="82">
        <f>SUM('Таблица №9'!H50)</f>
        <v>50</v>
      </c>
      <c r="G9" s="82">
        <f>SUM('Таблица №9'!I50)</f>
        <v>0</v>
      </c>
      <c r="H9" s="82">
        <f>SUM('Таблица №9'!J50)</f>
        <v>50</v>
      </c>
      <c r="I9" s="82">
        <f>SUM('Таблица №9'!K50)</f>
        <v>0</v>
      </c>
    </row>
    <row r="10" spans="1:9" ht="24.75" customHeight="1" outlineLevel="2">
      <c r="A10" s="49" t="s">
        <v>87</v>
      </c>
      <c r="B10" s="85" t="s">
        <v>178</v>
      </c>
      <c r="C10" s="85" t="s">
        <v>186</v>
      </c>
      <c r="D10" s="85" t="s">
        <v>178</v>
      </c>
      <c r="E10" s="83">
        <f>SUM('Таблица №9'!G51)</f>
        <v>0</v>
      </c>
      <c r="F10" s="83">
        <f>SUM('Таблица №9'!H51)</f>
        <v>50</v>
      </c>
      <c r="G10" s="83">
        <f>SUM('Таблица №9'!I51)</f>
        <v>0</v>
      </c>
      <c r="H10" s="83">
        <v>50</v>
      </c>
      <c r="I10" s="83">
        <f>SUM('Таблица №9'!K51)</f>
        <v>0</v>
      </c>
    </row>
    <row r="11" spans="1:9" ht="49.5" customHeight="1" outlineLevel="5">
      <c r="A11" s="81" t="str">
        <f>'Таблица №9'!A136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1" s="84" t="s">
        <v>182</v>
      </c>
      <c r="C11" s="86">
        <v>0</v>
      </c>
      <c r="D11" s="84" t="s">
        <v>81</v>
      </c>
      <c r="E11" s="82">
        <f>SUM(E12+E18+E14+E16)</f>
        <v>6259.9</v>
      </c>
      <c r="F11" s="82">
        <f>SUM(F12+F18+F14+F16)</f>
        <v>8369.9</v>
      </c>
      <c r="G11" s="82">
        <f>SUM(G12+G18+G14+G16)</f>
        <v>0</v>
      </c>
      <c r="H11" s="82">
        <f>SUM(H12+H18+H14+H16)</f>
        <v>2110</v>
      </c>
      <c r="I11" s="82">
        <f>SUM(I12+I18+I14+I16)</f>
        <v>0</v>
      </c>
    </row>
    <row r="12" spans="1:9" ht="54.75" customHeight="1" outlineLevel="5">
      <c r="A12" s="81" t="str">
        <f>'Таблица №9'!A137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84" t="s">
        <v>182</v>
      </c>
      <c r="C12" s="86">
        <v>1</v>
      </c>
      <c r="D12" s="84" t="s">
        <v>81</v>
      </c>
      <c r="E12" s="82">
        <f>SUM(E13)</f>
        <v>5653</v>
      </c>
      <c r="F12" s="82">
        <f>SUM(F13)</f>
        <v>6063</v>
      </c>
      <c r="G12" s="82">
        <f>SUM(G13)</f>
        <v>0</v>
      </c>
      <c r="H12" s="82">
        <f>SUM(H13)</f>
        <v>410</v>
      </c>
      <c r="I12" s="82">
        <f>SUM(I13)</f>
        <v>0</v>
      </c>
    </row>
    <row r="13" spans="1:9" ht="30" customHeight="1">
      <c r="A13" s="49" t="s">
        <v>102</v>
      </c>
      <c r="B13" s="85" t="s">
        <v>182</v>
      </c>
      <c r="C13" s="85" t="s">
        <v>84</v>
      </c>
      <c r="D13" s="85" t="s">
        <v>178</v>
      </c>
      <c r="E13" s="83">
        <f>SUM('Таблица №9'!G134+'Таблица №9'!G138+'Таблица №9'!G139)</f>
        <v>5653</v>
      </c>
      <c r="F13" s="83">
        <f>SUM('Таблица №9'!H134+'Таблица №9'!H138+'Таблица №9'!H139)</f>
        <v>6063</v>
      </c>
      <c r="G13" s="83">
        <f>SUM('Таблица №9'!I134+'Таблица №9'!I138+'Таблица №9'!I139)</f>
        <v>0</v>
      </c>
      <c r="H13" s="83">
        <f>SUM('Таблица №9'!J134+'Таблица №9'!J138+'Таблица №9'!J139)</f>
        <v>410</v>
      </c>
      <c r="I13" s="83">
        <f>SUM('Таблица №9'!K134+'Таблица №9'!K138+'Таблица №9'!K139)</f>
        <v>0</v>
      </c>
    </row>
    <row r="14" spans="1:9" ht="30" customHeight="1">
      <c r="A14" s="81" t="str">
        <f>'Таблица №9'!A140</f>
        <v>Подпрограмма «Газификация Алексеевского муниципального района»</v>
      </c>
      <c r="B14" s="84" t="s">
        <v>182</v>
      </c>
      <c r="C14" s="86">
        <v>2</v>
      </c>
      <c r="D14" s="84" t="s">
        <v>81</v>
      </c>
      <c r="E14" s="82">
        <f>SUM('Таблица №9'!G140)</f>
        <v>0</v>
      </c>
      <c r="F14" s="82">
        <f>SUM('Таблица №9'!H140)</f>
        <v>0</v>
      </c>
      <c r="G14" s="82">
        <f>SUM('Таблица №9'!I140)</f>
        <v>0</v>
      </c>
      <c r="H14" s="82">
        <f>SUM('Таблица №9'!J140)</f>
        <v>0</v>
      </c>
      <c r="I14" s="82">
        <f>SUM('Таблица №9'!K140)</f>
        <v>0</v>
      </c>
    </row>
    <row r="15" spans="1:9" ht="30" customHeight="1">
      <c r="A15" s="49" t="s">
        <v>141</v>
      </c>
      <c r="B15" s="85" t="s">
        <v>182</v>
      </c>
      <c r="C15" s="85" t="s">
        <v>85</v>
      </c>
      <c r="D15" s="85" t="s">
        <v>178</v>
      </c>
      <c r="E15" s="83">
        <f>SUM('Таблица №9'!G140)</f>
        <v>0</v>
      </c>
      <c r="F15" s="83">
        <f>SUM('Таблица №9'!H140)</f>
        <v>0</v>
      </c>
      <c r="G15" s="83">
        <f>SUM('Таблица №9'!I141)</f>
        <v>0</v>
      </c>
      <c r="H15" s="83">
        <f>SUM('Таблица №9'!J141)</f>
        <v>0</v>
      </c>
      <c r="I15" s="83">
        <f>SUM('Таблица №9'!K141)</f>
        <v>0</v>
      </c>
    </row>
    <row r="16" spans="1:9" ht="30" customHeight="1">
      <c r="A16" s="81" t="str">
        <f>'Таблица №9'!A143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6" s="84" t="s">
        <v>182</v>
      </c>
      <c r="C16" s="86">
        <v>3</v>
      </c>
      <c r="D16" s="84" t="s">
        <v>81</v>
      </c>
      <c r="E16" s="82">
        <f>SUM('Таблица №9'!G143+'Таблица №9'!G156+'Таблица №9'!G170)</f>
        <v>606.9</v>
      </c>
      <c r="F16" s="82">
        <f>SUM('Таблица №9'!H143+'Таблица №9'!H156+'Таблица №9'!H170)</f>
        <v>606.9</v>
      </c>
      <c r="G16" s="82">
        <f>SUM('Таблица №9'!I143+'Таблица №9'!I156+'Таблица №9'!I170)</f>
        <v>0</v>
      </c>
      <c r="H16" s="82">
        <f>SUM('Таблица №9'!J143+'Таблица №9'!J156+'Таблица №9'!J170)</f>
        <v>0</v>
      </c>
      <c r="I16" s="82">
        <f>SUM('Таблица №9'!K143+'Таблица №9'!K156+'Таблица №9'!K170)</f>
        <v>0</v>
      </c>
    </row>
    <row r="17" spans="1:9" ht="30" customHeight="1">
      <c r="A17" s="49" t="s">
        <v>142</v>
      </c>
      <c r="B17" s="85" t="s">
        <v>182</v>
      </c>
      <c r="C17" s="85" t="s">
        <v>86</v>
      </c>
      <c r="D17" s="85" t="s">
        <v>182</v>
      </c>
      <c r="E17" s="83">
        <f>SUM('Таблица №9'!G144+'Таблица №9'!G157+'Таблица №9'!G171)</f>
        <v>606.9</v>
      </c>
      <c r="F17" s="83">
        <f>SUM('Таблица №9'!H144+'Таблица №9'!H157+'Таблица №9'!H171)</f>
        <v>606.9</v>
      </c>
      <c r="G17" s="83">
        <f>SUM('Таблица №9'!I144+'Таблица №9'!I157+'Таблица №9'!I171)</f>
        <v>0</v>
      </c>
      <c r="H17" s="83">
        <f>SUM('Таблица №9'!J144+'Таблица №9'!J157+'Таблица №9'!J171)</f>
        <v>0</v>
      </c>
      <c r="I17" s="83">
        <f>SUM('Таблица №9'!K144+'Таблица №9'!K157+'Таблица №9'!K171)</f>
        <v>0</v>
      </c>
    </row>
    <row r="18" spans="1:9" ht="40.5" customHeight="1">
      <c r="A18" s="80" t="str">
        <f>'Таблица №9'!A65</f>
        <v>Подпрограмма "Энергосбережение и повышение энергетической эффективности Алексеевского муниципального района"</v>
      </c>
      <c r="B18" s="84" t="s">
        <v>182</v>
      </c>
      <c r="C18" s="84" t="s">
        <v>103</v>
      </c>
      <c r="D18" s="84" t="s">
        <v>81</v>
      </c>
      <c r="E18" s="82">
        <f>SUM(E19)</f>
        <v>0</v>
      </c>
      <c r="F18" s="82">
        <f>SUM(F19)</f>
        <v>1700</v>
      </c>
      <c r="G18" s="82">
        <f>SUM(G19)</f>
        <v>0</v>
      </c>
      <c r="H18" s="82">
        <f>SUM(H19)</f>
        <v>1700</v>
      </c>
      <c r="I18" s="82">
        <f>SUM(I19)</f>
        <v>0</v>
      </c>
    </row>
    <row r="19" spans="1:9" ht="32.25" customHeight="1">
      <c r="A19" s="49" t="s">
        <v>104</v>
      </c>
      <c r="B19" s="85" t="s">
        <v>182</v>
      </c>
      <c r="C19" s="85" t="s">
        <v>103</v>
      </c>
      <c r="D19" s="85" t="s">
        <v>178</v>
      </c>
      <c r="E19" s="83">
        <f>SUM('Таблица №9'!G66+'Таблица №9'!G159+'Таблица №9'!G172)</f>
        <v>0</v>
      </c>
      <c r="F19" s="83">
        <f>SUM('Таблица №9'!H66+'Таблица №9'!H159+'Таблица №9'!H172)</f>
        <v>1700</v>
      </c>
      <c r="G19" s="83">
        <f>SUM('Таблица №9'!I66+'Таблица №9'!I159+'Таблица №9'!I172)</f>
        <v>0</v>
      </c>
      <c r="H19" s="83">
        <f>SUM('Таблица №9'!J66+'Таблица №9'!J159+'Таблица №9'!J172)</f>
        <v>1700</v>
      </c>
      <c r="I19" s="83">
        <f>SUM('Таблица №9'!K66+'Таблица №9'!K159+'Таблица №9'!K172)</f>
        <v>0</v>
      </c>
    </row>
    <row r="20" spans="1:9" ht="56.25" customHeight="1">
      <c r="A20" s="81" t="str">
        <f>'Таблица №9'!A67</f>
        <v>Муниципальная программа "Развитие территориального общественного самоуправления Алексеевского муниципального района на 2016-2018 годы"</v>
      </c>
      <c r="B20" s="84" t="s">
        <v>189</v>
      </c>
      <c r="C20" s="84" t="s">
        <v>186</v>
      </c>
      <c r="D20" s="84" t="s">
        <v>81</v>
      </c>
      <c r="E20" s="82">
        <f>SUM('Таблица №9'!G67)</f>
        <v>80</v>
      </c>
      <c r="F20" s="82">
        <f>SUM('Таблица №9'!H67)</f>
        <v>100</v>
      </c>
      <c r="G20" s="82">
        <f>SUM('Таблица №9'!I67)</f>
        <v>80</v>
      </c>
      <c r="H20" s="82">
        <f>SUM('Таблица №9'!J67)</f>
        <v>100</v>
      </c>
      <c r="I20" s="82">
        <f>SUM('Таблица №9'!K67)</f>
        <v>0</v>
      </c>
    </row>
    <row r="21" spans="1:9" ht="52.5" customHeight="1">
      <c r="A21" s="49" t="s">
        <v>88</v>
      </c>
      <c r="B21" s="85" t="s">
        <v>189</v>
      </c>
      <c r="C21" s="85" t="s">
        <v>186</v>
      </c>
      <c r="D21" s="85" t="s">
        <v>178</v>
      </c>
      <c r="E21" s="83">
        <f>SUM('Таблица №9'!G68:G70)</f>
        <v>80</v>
      </c>
      <c r="F21" s="83">
        <f>SUM('Таблица №9'!H68:H70)</f>
        <v>100</v>
      </c>
      <c r="G21" s="83">
        <f>SUM('Таблица №9'!I68:I70)</f>
        <v>80</v>
      </c>
      <c r="H21" s="83">
        <f>SUM('Таблица №9'!J68:J70)</f>
        <v>100</v>
      </c>
      <c r="I21" s="83">
        <f>SUM('Таблица №9'!K68:K70)</f>
        <v>0</v>
      </c>
    </row>
    <row r="22" spans="1:9" ht="42.75" customHeight="1">
      <c r="A22" s="81" t="str">
        <f>'Таблица №9'!A120</f>
        <v>Муниципальная программа "Развитие и поддержка малого предпринимательства Алексеевского муниципального района на 2016-2018 годы "</v>
      </c>
      <c r="B22" s="84" t="s">
        <v>190</v>
      </c>
      <c r="C22" s="84" t="s">
        <v>186</v>
      </c>
      <c r="D22" s="84" t="s">
        <v>81</v>
      </c>
      <c r="E22" s="82">
        <f>SUM('Таблица №9'!G120)</f>
        <v>0</v>
      </c>
      <c r="F22" s="82">
        <f>SUM('Таблица №9'!H120)</f>
        <v>300</v>
      </c>
      <c r="G22" s="82">
        <f>SUM('Таблица №9'!I120)</f>
        <v>0</v>
      </c>
      <c r="H22" s="82">
        <f>SUM('Таблица №9'!J120)</f>
        <v>300</v>
      </c>
      <c r="I22" s="82">
        <f>SUM('Таблица №9'!K120)</f>
        <v>0</v>
      </c>
    </row>
    <row r="23" spans="1:9" ht="45" customHeight="1">
      <c r="A23" s="49" t="s">
        <v>105</v>
      </c>
      <c r="B23" s="85" t="s">
        <v>190</v>
      </c>
      <c r="C23" s="85" t="s">
        <v>186</v>
      </c>
      <c r="D23" s="85" t="s">
        <v>178</v>
      </c>
      <c r="E23" s="83">
        <f>SUM('Таблица №9'!G121)</f>
        <v>0</v>
      </c>
      <c r="F23" s="83">
        <f>SUM('Таблица №9'!H121)</f>
        <v>50</v>
      </c>
      <c r="G23" s="83">
        <f>SUM('Таблица №9'!I121)</f>
        <v>0</v>
      </c>
      <c r="H23" s="83">
        <f>SUM('Таблица №9'!J121)</f>
        <v>50</v>
      </c>
      <c r="I23" s="83">
        <f>SUM('Таблица №9'!K121)</f>
        <v>0</v>
      </c>
    </row>
    <row r="24" spans="1:9" ht="43.5" customHeight="1">
      <c r="A24" s="49" t="s">
        <v>106</v>
      </c>
      <c r="B24" s="85" t="s">
        <v>190</v>
      </c>
      <c r="C24" s="85" t="s">
        <v>186</v>
      </c>
      <c r="D24" s="85" t="s">
        <v>182</v>
      </c>
      <c r="E24" s="83">
        <f>SUM('Таблица №9'!G123)</f>
        <v>0</v>
      </c>
      <c r="F24" s="83">
        <f>SUM('Таблица №9'!H123)</f>
        <v>200</v>
      </c>
      <c r="G24" s="83">
        <f>SUM('Таблица №9'!I123)</f>
        <v>0</v>
      </c>
      <c r="H24" s="83">
        <f>SUM('Таблица №9'!J123)</f>
        <v>200</v>
      </c>
      <c r="I24" s="83">
        <f>SUM('Таблица №9'!K123)</f>
        <v>0</v>
      </c>
    </row>
    <row r="25" spans="1:9" ht="55.5" customHeight="1">
      <c r="A25" s="49" t="s">
        <v>122</v>
      </c>
      <c r="B25" s="85" t="s">
        <v>190</v>
      </c>
      <c r="C25" s="85" t="s">
        <v>186</v>
      </c>
      <c r="D25" s="85" t="s">
        <v>189</v>
      </c>
      <c r="E25" s="83">
        <f>SUM('Таблица №9'!G122)</f>
        <v>0</v>
      </c>
      <c r="F25" s="83">
        <f>SUM('Таблица №9'!H122)</f>
        <v>50</v>
      </c>
      <c r="G25" s="83">
        <f>SUM('Таблица №9'!I122)</f>
        <v>0</v>
      </c>
      <c r="H25" s="83">
        <f>SUM('Таблица №9'!J122)</f>
        <v>50</v>
      </c>
      <c r="I25" s="83">
        <f>SUM('Таблица №9'!K122)</f>
        <v>0</v>
      </c>
    </row>
    <row r="26" spans="1:9" ht="39.75" customHeight="1">
      <c r="A26" s="81" t="str">
        <f>'Таблица №9'!A151</f>
        <v>Муниципальная программа  «Охрана окружающей среды Алексеевского муниципального района на 2016-2018 годы»</v>
      </c>
      <c r="B26" s="84" t="s">
        <v>192</v>
      </c>
      <c r="C26" s="84" t="s">
        <v>186</v>
      </c>
      <c r="D26" s="84" t="s">
        <v>81</v>
      </c>
      <c r="E26" s="82">
        <f>SUM('Таблица №9'!G151)</f>
        <v>0</v>
      </c>
      <c r="F26" s="82">
        <f>SUM('Таблица №9'!H151)</f>
        <v>50</v>
      </c>
      <c r="G26" s="82">
        <f>SUM('Таблица №9'!I151)</f>
        <v>0</v>
      </c>
      <c r="H26" s="82">
        <f>SUM('Таблица №9'!J151)</f>
        <v>50</v>
      </c>
      <c r="I26" s="82">
        <f>SUM('Таблица №9'!K151)</f>
        <v>0</v>
      </c>
    </row>
    <row r="27" spans="1:9" ht="38.25" customHeight="1">
      <c r="A27" s="49" t="s">
        <v>107</v>
      </c>
      <c r="B27" s="85" t="s">
        <v>192</v>
      </c>
      <c r="C27" s="85" t="s">
        <v>186</v>
      </c>
      <c r="D27" s="85" t="s">
        <v>178</v>
      </c>
      <c r="E27" s="83">
        <f>SUM('Таблица №9'!G152)</f>
        <v>0</v>
      </c>
      <c r="F27" s="83">
        <f>SUM('Таблица №9'!H152)</f>
        <v>50</v>
      </c>
      <c r="G27" s="83">
        <f>SUM('Таблица №9'!I152)</f>
        <v>0</v>
      </c>
      <c r="H27" s="83">
        <f>SUM('Таблица №9'!J152)</f>
        <v>50</v>
      </c>
      <c r="I27" s="83">
        <f>SUM('Таблица №9'!K152)</f>
        <v>0</v>
      </c>
    </row>
    <row r="28" spans="1:9" ht="76.5" customHeight="1">
      <c r="A28" s="81" t="str">
        <f>'Таблица №9'!A215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2015-2017 годы "</v>
      </c>
      <c r="B28" s="84" t="s">
        <v>206</v>
      </c>
      <c r="C28" s="84" t="s">
        <v>186</v>
      </c>
      <c r="D28" s="84" t="s">
        <v>81</v>
      </c>
      <c r="E28" s="82">
        <f>SUM('Таблица №9'!G215)</f>
        <v>0</v>
      </c>
      <c r="F28" s="82">
        <f>SUM('Таблица №9'!H215)</f>
        <v>300</v>
      </c>
      <c r="G28" s="82">
        <f>SUM('Таблица №9'!I215)</f>
        <v>0</v>
      </c>
      <c r="H28" s="82">
        <f>SUM('Таблица №9'!J215)</f>
        <v>0</v>
      </c>
      <c r="I28" s="82">
        <f>SUM('Таблица №9'!K215)</f>
        <v>0</v>
      </c>
    </row>
    <row r="29" spans="1:9" ht="27.75" customHeight="1">
      <c r="A29" s="81" t="str">
        <f>'Таблица №9'!A216</f>
        <v>Подпрограмма "Комплексные меры по противодействию наркомании"</v>
      </c>
      <c r="B29" s="84" t="s">
        <v>206</v>
      </c>
      <c r="C29" s="84" t="s">
        <v>84</v>
      </c>
      <c r="D29" s="84" t="s">
        <v>81</v>
      </c>
      <c r="E29" s="82">
        <f>SUM('Таблица №9'!G216)</f>
        <v>0</v>
      </c>
      <c r="F29" s="82">
        <f>SUM('Таблица №9'!H216)</f>
        <v>50</v>
      </c>
      <c r="G29" s="82">
        <f>SUM('Таблица №9'!I216)</f>
        <v>0</v>
      </c>
      <c r="H29" s="82">
        <f>SUM('Таблица №9'!J216)</f>
        <v>0</v>
      </c>
      <c r="I29" s="82">
        <f>SUM('Таблица №9'!K216)</f>
        <v>0</v>
      </c>
    </row>
    <row r="30" spans="1:9" ht="42" customHeight="1">
      <c r="A30" s="49" t="s">
        <v>108</v>
      </c>
      <c r="B30" s="85" t="s">
        <v>206</v>
      </c>
      <c r="C30" s="85" t="s">
        <v>84</v>
      </c>
      <c r="D30" s="85" t="s">
        <v>178</v>
      </c>
      <c r="E30" s="83">
        <f>SUM('Таблица №9'!G217)</f>
        <v>0</v>
      </c>
      <c r="F30" s="83">
        <f>SUM('Таблица №9'!H217)</f>
        <v>50</v>
      </c>
      <c r="G30" s="83">
        <f>SUM('Таблица №9'!I217)</f>
        <v>0</v>
      </c>
      <c r="H30" s="83">
        <f>SUM('Таблица №9'!J217)</f>
        <v>0</v>
      </c>
      <c r="I30" s="83">
        <f>SUM('Таблица №9'!K217)</f>
        <v>0</v>
      </c>
    </row>
    <row r="31" spans="1:9" ht="29.25" customHeight="1" outlineLevel="1">
      <c r="A31" s="81" t="str">
        <f>'Таблица №9'!A218</f>
        <v>Подпрограмма "Реализация мероприятий молодежной политики и социальной адаптации молодежи "</v>
      </c>
      <c r="B31" s="84" t="s">
        <v>206</v>
      </c>
      <c r="C31" s="84" t="s">
        <v>85</v>
      </c>
      <c r="D31" s="84" t="s">
        <v>81</v>
      </c>
      <c r="E31" s="82">
        <f>SUM('Таблица №9'!G218)</f>
        <v>0</v>
      </c>
      <c r="F31" s="82">
        <f>SUM('Таблица №9'!H218)</f>
        <v>200</v>
      </c>
      <c r="G31" s="82">
        <f>SUM('Таблица №9'!I218)</f>
        <v>0</v>
      </c>
      <c r="H31" s="82">
        <f>SUM('Таблица №9'!J218)</f>
        <v>0</v>
      </c>
      <c r="I31" s="82">
        <f>SUM('Таблица №9'!K218)</f>
        <v>0</v>
      </c>
    </row>
    <row r="32" spans="1:9" ht="30" customHeight="1" outlineLevel="5">
      <c r="A32" s="49" t="s">
        <v>109</v>
      </c>
      <c r="B32" s="85" t="s">
        <v>206</v>
      </c>
      <c r="C32" s="85" t="s">
        <v>85</v>
      </c>
      <c r="D32" s="85" t="s">
        <v>178</v>
      </c>
      <c r="E32" s="83">
        <f>SUM('Таблица №9'!G219)</f>
        <v>0</v>
      </c>
      <c r="F32" s="83">
        <f>SUM('Таблица №9'!H219)</f>
        <v>200</v>
      </c>
      <c r="G32" s="83">
        <f>SUM('Таблица №9'!I219)</f>
        <v>0</v>
      </c>
      <c r="H32" s="83">
        <f>SUM('Таблица №9'!J219)</f>
        <v>0</v>
      </c>
      <c r="I32" s="83">
        <f>SUM('Таблица №9'!K219)</f>
        <v>0</v>
      </c>
    </row>
    <row r="33" spans="1:9" ht="42.75" customHeight="1" outlineLevel="5">
      <c r="A33" s="81" t="str">
        <f>'Таблица №9'!A220</f>
        <v>Подпрограмма " Профилактика безнадзорности , правонарушений и неблагополучия несовершеннолетних"</v>
      </c>
      <c r="B33" s="84" t="s">
        <v>206</v>
      </c>
      <c r="C33" s="84" t="s">
        <v>86</v>
      </c>
      <c r="D33" s="84" t="s">
        <v>81</v>
      </c>
      <c r="E33" s="82">
        <f>SUM('Таблица №9'!G220)</f>
        <v>0</v>
      </c>
      <c r="F33" s="82">
        <f>SUM('Таблица №9'!H220)</f>
        <v>50</v>
      </c>
      <c r="G33" s="82">
        <f>SUM('Таблица №9'!I220)</f>
        <v>0</v>
      </c>
      <c r="H33" s="82">
        <f>SUM('Таблица №9'!J220)</f>
        <v>0</v>
      </c>
      <c r="I33" s="82">
        <f>SUM('Таблица №9'!K220)</f>
        <v>0</v>
      </c>
    </row>
    <row r="34" spans="1:9" s="17" customFormat="1" ht="39.75" customHeight="1" outlineLevel="2">
      <c r="A34" s="49" t="s">
        <v>110</v>
      </c>
      <c r="B34" s="85" t="s">
        <v>206</v>
      </c>
      <c r="C34" s="87">
        <v>3</v>
      </c>
      <c r="D34" s="85" t="s">
        <v>178</v>
      </c>
      <c r="E34" s="83">
        <v>0</v>
      </c>
      <c r="F34" s="83">
        <f>SUM('Таблица №9'!H221)</f>
        <v>50</v>
      </c>
      <c r="G34" s="83">
        <f>SUM('Таблица №9'!I221)</f>
        <v>0</v>
      </c>
      <c r="H34" s="83">
        <f>SUM('Таблица №9'!J221)</f>
        <v>0</v>
      </c>
      <c r="I34" s="83">
        <f>SUM('Таблица №9'!K221)</f>
        <v>0</v>
      </c>
    </row>
    <row r="35" spans="1:9" s="17" customFormat="1" ht="93.75" customHeight="1" outlineLevel="2">
      <c r="A35" s="64" t="str">
        <f>'Таблица №9'!A234</f>
        <v>Муниципальная программа 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2016-2018 годы"</v>
      </c>
      <c r="B35" s="89" t="s">
        <v>152</v>
      </c>
      <c r="C35" s="89" t="s">
        <v>186</v>
      </c>
      <c r="D35" s="89" t="s">
        <v>81</v>
      </c>
      <c r="E35" s="74">
        <f>SUM('Таблица №9'!G234)</f>
        <v>25</v>
      </c>
      <c r="F35" s="74">
        <f>SUM('Таблица №9'!H234)</f>
        <v>25</v>
      </c>
      <c r="G35" s="74">
        <f>SUM('Таблица №9'!I234)</f>
        <v>25</v>
      </c>
      <c r="H35" s="74">
        <f>SUM('Таблица №9'!J234)</f>
        <v>25</v>
      </c>
      <c r="I35" s="74">
        <f>SUM('Таблица №9'!K234)</f>
        <v>0</v>
      </c>
    </row>
    <row r="36" spans="1:9" s="17" customFormat="1" ht="65.25" customHeight="1" outlineLevel="2">
      <c r="A36" s="115" t="s">
        <v>155</v>
      </c>
      <c r="B36" s="92" t="s">
        <v>152</v>
      </c>
      <c r="C36" s="93">
        <v>0</v>
      </c>
      <c r="D36" s="92" t="s">
        <v>178</v>
      </c>
      <c r="E36" s="75">
        <f>SUM('Таблица №9'!G235)</f>
        <v>25</v>
      </c>
      <c r="F36" s="75">
        <f>SUM('Таблица №9'!H235)</f>
        <v>25</v>
      </c>
      <c r="G36" s="75">
        <f>SUM('Таблица №9'!I235)</f>
        <v>25</v>
      </c>
      <c r="H36" s="75">
        <f>SUM('Таблица №9'!J235)</f>
        <v>25</v>
      </c>
      <c r="I36" s="75">
        <f>SUM('Таблица №9'!K235)</f>
        <v>0</v>
      </c>
    </row>
    <row r="37" spans="1:9" s="17" customFormat="1" ht="45.75" customHeight="1" outlineLevel="2">
      <c r="A37" s="81" t="str">
        <f>'Таблица №9'!A222</f>
        <v>Муниципальная программа "Организация отдыха и оздоровление детей в Алексеевском муниципальном районе Волгоградской области на 2016-2018 годы"</v>
      </c>
      <c r="B37" s="84" t="s">
        <v>183</v>
      </c>
      <c r="C37" s="84" t="s">
        <v>186</v>
      </c>
      <c r="D37" s="84" t="s">
        <v>81</v>
      </c>
      <c r="E37" s="82">
        <f>SUM('Таблица №9'!G222)</f>
        <v>100</v>
      </c>
      <c r="F37" s="82">
        <f>SUM('Таблица №9'!H222)</f>
        <v>300</v>
      </c>
      <c r="G37" s="82">
        <f>SUM('Таблица №9'!I222)</f>
        <v>100</v>
      </c>
      <c r="H37" s="82">
        <f>SUM('Таблица №9'!J222)</f>
        <v>300</v>
      </c>
      <c r="I37" s="82">
        <f>SUM('Таблица №9'!K222)</f>
        <v>0</v>
      </c>
    </row>
    <row r="38" spans="1:9" ht="42" customHeight="1" outlineLevel="3">
      <c r="A38" s="49" t="s">
        <v>134</v>
      </c>
      <c r="B38" s="85" t="s">
        <v>183</v>
      </c>
      <c r="C38" s="85" t="s">
        <v>186</v>
      </c>
      <c r="D38" s="85" t="s">
        <v>178</v>
      </c>
      <c r="E38" s="83">
        <f>SUM('Таблица №9'!G223)</f>
        <v>100</v>
      </c>
      <c r="F38" s="83">
        <f>SUM('Таблица №9'!H223)</f>
        <v>300</v>
      </c>
      <c r="G38" s="83">
        <f>SUM('Таблица №9'!I223)</f>
        <v>100</v>
      </c>
      <c r="H38" s="83">
        <f>SUM('Таблица №9'!J223)</f>
        <v>300</v>
      </c>
      <c r="I38" s="83">
        <f>SUM('Таблица №9'!K223)</f>
        <v>0</v>
      </c>
    </row>
    <row r="39" spans="1:9" ht="42.75" customHeight="1">
      <c r="A39" s="81" t="str">
        <f>'Таблица №9'!A241</f>
        <v>Муниципальная программа  «Развитие народных художественных промыслов Алексеевского  муниципального района на 2016-2018 годы»</v>
      </c>
      <c r="B39" s="84" t="s">
        <v>181</v>
      </c>
      <c r="C39" s="84" t="s">
        <v>186</v>
      </c>
      <c r="D39" s="84" t="s">
        <v>81</v>
      </c>
      <c r="E39" s="82">
        <f>SUM('Таблица №9'!G241)</f>
        <v>0</v>
      </c>
      <c r="F39" s="82">
        <f>SUM('Таблица №9'!H241)</f>
        <v>100</v>
      </c>
      <c r="G39" s="82">
        <f>SUM('Таблица №9'!I241)</f>
        <v>0</v>
      </c>
      <c r="H39" s="82">
        <f>SUM('Таблица №9'!J241)</f>
        <v>100</v>
      </c>
      <c r="I39" s="82">
        <f>SUM('Таблица №9'!K241)</f>
        <v>0</v>
      </c>
    </row>
    <row r="40" spans="1:9" ht="54.75" customHeight="1">
      <c r="A40" s="49" t="s">
        <v>111</v>
      </c>
      <c r="B40" s="85" t="s">
        <v>181</v>
      </c>
      <c r="C40" s="85" t="s">
        <v>186</v>
      </c>
      <c r="D40" s="85" t="s">
        <v>178</v>
      </c>
      <c r="E40" s="83">
        <f>SUM('Таблица №9'!G242)</f>
        <v>0</v>
      </c>
      <c r="F40" s="83">
        <f>SUM('Таблица №9'!H242)</f>
        <v>100</v>
      </c>
      <c r="G40" s="83">
        <f>SUM('Таблица №9'!I242)</f>
        <v>0</v>
      </c>
      <c r="H40" s="83">
        <f>SUM('Таблица №9'!J242)</f>
        <v>100</v>
      </c>
      <c r="I40" s="83">
        <f>SUM('Таблица №9'!K242)</f>
        <v>0</v>
      </c>
    </row>
    <row r="41" spans="1:9" ht="42.75" customHeight="1">
      <c r="A41" s="81" t="str">
        <f>'Таблица №9'!A243</f>
        <v>Муниципальная программа "О поддержке деятельности казачьих обществ  Алексеевского муниципального района на 2016-2018 годы"</v>
      </c>
      <c r="B41" s="85" t="s">
        <v>180</v>
      </c>
      <c r="C41" s="85" t="s">
        <v>186</v>
      </c>
      <c r="D41" s="85" t="s">
        <v>81</v>
      </c>
      <c r="E41" s="82">
        <f>SUM('Таблица №9'!G243)</f>
        <v>-50</v>
      </c>
      <c r="F41" s="82">
        <f>SUM('Таблица №9'!H243)</f>
        <v>150</v>
      </c>
      <c r="G41" s="82">
        <f>SUM('Таблица №9'!I243)</f>
        <v>-50</v>
      </c>
      <c r="H41" s="82">
        <f>SUM('Таблица №9'!J243)</f>
        <v>150</v>
      </c>
      <c r="I41" s="82">
        <f>SUM('Таблица №9'!K243)</f>
        <v>0</v>
      </c>
    </row>
    <row r="42" spans="1:9" ht="35.25" customHeight="1">
      <c r="A42" s="49" t="s">
        <v>112</v>
      </c>
      <c r="B42" s="85" t="s">
        <v>180</v>
      </c>
      <c r="C42" s="85">
        <f>'Таблица №9'!E284</f>
        <v>0</v>
      </c>
      <c r="D42" s="85" t="s">
        <v>178</v>
      </c>
      <c r="E42" s="83">
        <f>SUM('Таблица №9'!G244)</f>
        <v>-50</v>
      </c>
      <c r="F42" s="83">
        <f>SUM('Таблица №9'!H244)</f>
        <v>150</v>
      </c>
      <c r="G42" s="83">
        <f>SUM('Таблица №9'!I244)</f>
        <v>-50</v>
      </c>
      <c r="H42" s="83">
        <f>SUM('Таблица №9'!J244)</f>
        <v>150</v>
      </c>
      <c r="I42" s="83">
        <f>SUM('Таблица №9'!K244)</f>
        <v>0</v>
      </c>
    </row>
    <row r="43" spans="1:9" ht="82.5" customHeight="1">
      <c r="A43" s="81" t="str">
        <f>'Таблица №9'!A264</f>
        <v>Муниципальная программа  " 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 в Алексеевском  муниципальном районе 2016-2018 годы"</v>
      </c>
      <c r="B43" s="84" t="s">
        <v>184</v>
      </c>
      <c r="C43" s="84">
        <f>'Таблица №9'!E115</f>
        <v>0</v>
      </c>
      <c r="D43" s="84" t="s">
        <v>81</v>
      </c>
      <c r="E43" s="82">
        <f>SUM('Таблица №9'!G264)</f>
        <v>20</v>
      </c>
      <c r="F43" s="82">
        <f>SUM('Таблица №9'!H264)</f>
        <v>500</v>
      </c>
      <c r="G43" s="82">
        <f>SUM('Таблица №9'!I264)</f>
        <v>20</v>
      </c>
      <c r="H43" s="82">
        <f>SUM('Таблица №9'!J264)</f>
        <v>500</v>
      </c>
      <c r="I43" s="82">
        <f>SUM('Таблица №9'!K264)</f>
        <v>0</v>
      </c>
    </row>
    <row r="44" spans="1:9" ht="90" customHeight="1">
      <c r="A44" s="49" t="s">
        <v>113</v>
      </c>
      <c r="B44" s="85" t="s">
        <v>184</v>
      </c>
      <c r="C44" s="85" t="s">
        <v>186</v>
      </c>
      <c r="D44" s="85" t="s">
        <v>178</v>
      </c>
      <c r="E44" s="83">
        <f>SUM('Таблица №9'!G265)</f>
        <v>20</v>
      </c>
      <c r="F44" s="83">
        <f>SUM('Таблица №9'!H265)</f>
        <v>500</v>
      </c>
      <c r="G44" s="83">
        <f>SUM('Таблица №9'!I265)</f>
        <v>20</v>
      </c>
      <c r="H44" s="83">
        <f>SUM('Таблица №9'!J265)</f>
        <v>500</v>
      </c>
      <c r="I44" s="83">
        <f>SUM('Таблица №9'!K265)</f>
        <v>0</v>
      </c>
    </row>
    <row r="45" spans="1:9" ht="29.25" customHeight="1">
      <c r="A45" s="81" t="str">
        <f>'Таблица №9'!A71</f>
        <v>Муниципальная программа "Маршрут Победы на 2016-2018 годы"</v>
      </c>
      <c r="B45" s="84" t="s">
        <v>187</v>
      </c>
      <c r="C45" s="84" t="s">
        <v>186</v>
      </c>
      <c r="D45" s="84" t="s">
        <v>81</v>
      </c>
      <c r="E45" s="82">
        <f>SUM('Таблица №9'!G71)</f>
        <v>25</v>
      </c>
      <c r="F45" s="82">
        <f>SUM('Таблица №9'!H71)</f>
        <v>75</v>
      </c>
      <c r="G45" s="82">
        <f>SUM('Таблица №9'!I71)</f>
        <v>25</v>
      </c>
      <c r="H45" s="82">
        <f>SUM('Таблица №9'!J71)</f>
        <v>75</v>
      </c>
      <c r="I45" s="82">
        <f>SUM('Таблица №9'!K71)</f>
        <v>0</v>
      </c>
    </row>
    <row r="46" spans="1:9" ht="40.5" customHeight="1">
      <c r="A46" s="49" t="s">
        <v>146</v>
      </c>
      <c r="B46" s="85" t="s">
        <v>187</v>
      </c>
      <c r="C46" s="85" t="s">
        <v>186</v>
      </c>
      <c r="D46" s="85" t="s">
        <v>178</v>
      </c>
      <c r="E46" s="83">
        <f>SUM('Таблица №9'!G72)</f>
        <v>25</v>
      </c>
      <c r="F46" s="83">
        <f>SUM('Таблица №9'!H72)</f>
        <v>75</v>
      </c>
      <c r="G46" s="83">
        <f>SUM('Таблица №9'!I72)</f>
        <v>25</v>
      </c>
      <c r="H46" s="83">
        <f>SUM('Таблица №9'!J72)</f>
        <v>75</v>
      </c>
      <c r="I46" s="83">
        <f>SUM('Таблица №9'!K72)</f>
        <v>0</v>
      </c>
    </row>
    <row r="47" spans="1:9" ht="57.75" customHeight="1">
      <c r="A47" s="80" t="str">
        <f>'Таблица №9'!A175</f>
        <v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v>
      </c>
      <c r="B47" s="84" t="s">
        <v>196</v>
      </c>
      <c r="C47" s="84" t="s">
        <v>186</v>
      </c>
      <c r="D47" s="84" t="s">
        <v>81</v>
      </c>
      <c r="E47" s="82">
        <f>SUM('Таблица №9'!G175)</f>
        <v>0</v>
      </c>
      <c r="F47" s="82">
        <f>SUM('Таблица №9'!H175)</f>
        <v>100</v>
      </c>
      <c r="G47" s="82">
        <f>SUM('Таблица №9'!I175)</f>
        <v>0</v>
      </c>
      <c r="H47" s="82">
        <f>SUM('Таблица №9'!J175)</f>
        <v>100</v>
      </c>
      <c r="I47" s="82">
        <f>SUM('Таблица №9'!K175)</f>
        <v>0</v>
      </c>
    </row>
    <row r="48" spans="1:9" ht="33.75" customHeight="1">
      <c r="A48" s="49" t="s">
        <v>114</v>
      </c>
      <c r="B48" s="85" t="s">
        <v>196</v>
      </c>
      <c r="C48" s="85" t="s">
        <v>186</v>
      </c>
      <c r="D48" s="85" t="s">
        <v>178</v>
      </c>
      <c r="E48" s="83">
        <f>SUM('Таблица №9'!G176)</f>
        <v>0</v>
      </c>
      <c r="F48" s="83">
        <f>SUM('Таблица №9'!H176)</f>
        <v>100</v>
      </c>
      <c r="G48" s="83">
        <f>SUM('Таблица №9'!I176)</f>
        <v>0</v>
      </c>
      <c r="H48" s="83">
        <f>SUM('Таблица №9'!J176)</f>
        <v>100</v>
      </c>
      <c r="I48" s="83">
        <f>SUM('Таблица №9'!K176)</f>
        <v>0</v>
      </c>
    </row>
    <row r="49" spans="1:9" ht="46.5" customHeight="1">
      <c r="A49" s="80" t="str">
        <f>'Таблица №9'!A283</f>
        <v>Муниципальная программа "Развитие физической культуры и спорта в Алексеевском муниципальном районе на 2016-2018 годы"</v>
      </c>
      <c r="B49" s="84" t="s">
        <v>197</v>
      </c>
      <c r="C49" s="84" t="s">
        <v>186</v>
      </c>
      <c r="D49" s="84" t="s">
        <v>81</v>
      </c>
      <c r="E49" s="82">
        <f>SUM(E50:E50)</f>
        <v>-100</v>
      </c>
      <c r="F49" s="82">
        <f>SUM(F50:F50)</f>
        <v>600</v>
      </c>
      <c r="G49" s="82">
        <f>SUM(G50:G50)</f>
        <v>-100</v>
      </c>
      <c r="H49" s="82">
        <f>SUM(H50:H50)</f>
        <v>600</v>
      </c>
      <c r="I49" s="82">
        <f>SUM(I50:I50)</f>
        <v>0</v>
      </c>
    </row>
    <row r="50" spans="1:9" ht="67.5" customHeight="1">
      <c r="A50" s="49" t="s">
        <v>115</v>
      </c>
      <c r="B50" s="85" t="s">
        <v>197</v>
      </c>
      <c r="C50" s="85" t="s">
        <v>186</v>
      </c>
      <c r="D50" s="85" t="s">
        <v>178</v>
      </c>
      <c r="E50" s="83">
        <f>SUM('Таблица №9'!G284)</f>
        <v>-100</v>
      </c>
      <c r="F50" s="83">
        <f>SUM('Таблица №9'!H284)</f>
        <v>600</v>
      </c>
      <c r="G50" s="83">
        <f>SUM('Таблица №9'!I284)</f>
        <v>-100</v>
      </c>
      <c r="H50" s="83">
        <f>SUM('Таблица №9'!J284)</f>
        <v>600</v>
      </c>
      <c r="I50" s="83">
        <f>SUM('Таблица №9'!K284)</f>
        <v>0</v>
      </c>
    </row>
    <row r="51" spans="1:9" ht="55.5" customHeight="1">
      <c r="A51" s="80" t="str">
        <f>'Таблица №9'!A114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v>
      </c>
      <c r="B51" s="84" t="s">
        <v>37</v>
      </c>
      <c r="C51" s="84" t="s">
        <v>186</v>
      </c>
      <c r="D51" s="84" t="s">
        <v>81</v>
      </c>
      <c r="E51" s="82">
        <f>SUM('Таблица №9'!G114)</f>
        <v>4962.6</v>
      </c>
      <c r="F51" s="82">
        <f>SUM('Таблица №9'!H114)</f>
        <v>4962.6</v>
      </c>
      <c r="G51" s="82">
        <f>SUM('Таблица №9'!I114)</f>
        <v>4893.2</v>
      </c>
      <c r="H51" s="82">
        <f>SUM('Таблица №9'!J114)</f>
        <v>4893.2</v>
      </c>
      <c r="I51" s="82">
        <f>SUM('Таблица №9'!K114)</f>
        <v>5007.2</v>
      </c>
    </row>
    <row r="52" spans="1:9" ht="54" customHeight="1">
      <c r="A52" s="49" t="s">
        <v>116</v>
      </c>
      <c r="B52" s="85" t="s">
        <v>37</v>
      </c>
      <c r="C52" s="85" t="s">
        <v>186</v>
      </c>
      <c r="D52" s="85" t="s">
        <v>178</v>
      </c>
      <c r="E52" s="83">
        <f>SUM('Таблица №9'!G114)</f>
        <v>4962.6</v>
      </c>
      <c r="F52" s="83">
        <f>SUM('Таблица №9'!H114)</f>
        <v>4962.6</v>
      </c>
      <c r="G52" s="83">
        <f>SUM('Таблица №9'!I114)</f>
        <v>4893.2</v>
      </c>
      <c r="H52" s="83">
        <f>SUM('Таблица №9'!J114)</f>
        <v>4893.2</v>
      </c>
      <c r="I52" s="83">
        <f>SUM('Таблица №9'!K114)</f>
        <v>5007.2</v>
      </c>
    </row>
    <row r="53" spans="1:9" ht="54" customHeight="1">
      <c r="A53" s="80" t="str">
        <f>'Таблица №9'!A73</f>
        <v>Муниципальная программа "Профилактика  правонарушений и безопасности дорожного движения на территории Алексеевского муниципального района на 2016-2018 годы"</v>
      </c>
      <c r="B53" s="84" t="s">
        <v>40</v>
      </c>
      <c r="C53" s="84" t="s">
        <v>186</v>
      </c>
      <c r="D53" s="84" t="s">
        <v>81</v>
      </c>
      <c r="E53" s="82">
        <f>SUM('Таблица №9'!G73)</f>
        <v>0</v>
      </c>
      <c r="F53" s="82">
        <f>SUM('Таблица №9'!H73)</f>
        <v>100</v>
      </c>
      <c r="G53" s="82">
        <f>SUM('Таблица №9'!I73)</f>
        <v>0</v>
      </c>
      <c r="H53" s="82">
        <f>SUM('Таблица №9'!J73)</f>
        <v>100</v>
      </c>
      <c r="I53" s="82">
        <f>SUM('Таблица №9'!K73)</f>
        <v>0</v>
      </c>
    </row>
    <row r="54" spans="1:9" ht="72" customHeight="1">
      <c r="A54" s="49" t="s">
        <v>117</v>
      </c>
      <c r="B54" s="85" t="s">
        <v>40</v>
      </c>
      <c r="C54" s="85" t="s">
        <v>186</v>
      </c>
      <c r="D54" s="85" t="s">
        <v>178</v>
      </c>
      <c r="E54" s="83">
        <f>SUM('Таблица №9'!G74)</f>
        <v>0</v>
      </c>
      <c r="F54" s="83">
        <f>SUM('Таблица №9'!H74)</f>
        <v>100</v>
      </c>
      <c r="G54" s="83">
        <f>SUM('Таблица №9'!I74)</f>
        <v>0</v>
      </c>
      <c r="H54" s="83">
        <f>SUM('Таблица №9'!J74)</f>
        <v>100</v>
      </c>
      <c r="I54" s="83">
        <f>SUM('Таблица №9'!K74)</f>
        <v>0</v>
      </c>
    </row>
    <row r="55" spans="1:9" ht="67.5" customHeight="1">
      <c r="A55" s="80" t="str">
        <f>'Таблица №9'!A160</f>
        <v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v>
      </c>
      <c r="B55" s="84" t="s">
        <v>150</v>
      </c>
      <c r="C55" s="84" t="s">
        <v>186</v>
      </c>
      <c r="D55" s="84" t="s">
        <v>81</v>
      </c>
      <c r="E55" s="82">
        <f>SUM(E56)</f>
        <v>206.1</v>
      </c>
      <c r="F55" s="82">
        <f>SUM(F56)</f>
        <v>206.1</v>
      </c>
      <c r="G55" s="82">
        <f>SUM(G56)</f>
        <v>206.1</v>
      </c>
      <c r="H55" s="82">
        <f>SUM(H56)</f>
        <v>206.1</v>
      </c>
      <c r="I55" s="82">
        <f>SUM(I56)</f>
        <v>206.1</v>
      </c>
    </row>
    <row r="56" spans="1:9" ht="67.5" customHeight="1">
      <c r="A56" s="49" t="s">
        <v>151</v>
      </c>
      <c r="B56" s="85" t="s">
        <v>150</v>
      </c>
      <c r="C56" s="85" t="s">
        <v>186</v>
      </c>
      <c r="D56" s="85" t="s">
        <v>178</v>
      </c>
      <c r="E56" s="83">
        <f>SUM('Таблица №9'!G161+'Таблица №9'!G178)</f>
        <v>206.1</v>
      </c>
      <c r="F56" s="83">
        <f>SUM('Таблица №9'!H161+'Таблица №9'!H178)</f>
        <v>206.1</v>
      </c>
      <c r="G56" s="83">
        <f>SUM('Таблица №9'!I161+'Таблица №9'!I178)</f>
        <v>206.1</v>
      </c>
      <c r="H56" s="83">
        <f>SUM('Таблица №9'!J161+'Таблица №9'!J178)</f>
        <v>206.1</v>
      </c>
      <c r="I56" s="83">
        <f>SUM('Таблица №9'!K161+'Таблица №9'!K178)</f>
        <v>206.1</v>
      </c>
    </row>
    <row r="57" spans="1:9" ht="40.5" customHeight="1">
      <c r="A57" s="80" t="str">
        <f>'Таблица №9'!A75</f>
        <v>Муниципальная программа «Профилактика терроризма и экстремизма на территории  Алексеевского муниципального района на 2016-2018 годы"</v>
      </c>
      <c r="B57" s="84" t="s">
        <v>97</v>
      </c>
      <c r="C57" s="84">
        <f>'Таблица №9'!E135</f>
        <v>0</v>
      </c>
      <c r="D57" s="84" t="s">
        <v>81</v>
      </c>
      <c r="E57" s="82">
        <f>SUM('Таблица №9'!G75)</f>
        <v>0</v>
      </c>
      <c r="F57" s="82">
        <f>SUM('Таблица №9'!H75)</f>
        <v>50</v>
      </c>
      <c r="G57" s="82">
        <f>SUM('Таблица №9'!I75)</f>
        <v>0</v>
      </c>
      <c r="H57" s="82">
        <f>SUM('Таблица №9'!J75)</f>
        <v>50</v>
      </c>
      <c r="I57" s="82">
        <f>SUM('Таблица №9'!K75)</f>
        <v>0</v>
      </c>
    </row>
    <row r="58" spans="1:9" ht="40.5" customHeight="1">
      <c r="A58" s="49" t="s">
        <v>118</v>
      </c>
      <c r="B58" s="85" t="s">
        <v>97</v>
      </c>
      <c r="C58" s="85" t="s">
        <v>186</v>
      </c>
      <c r="D58" s="85" t="s">
        <v>178</v>
      </c>
      <c r="E58" s="83">
        <f>SUM('Таблица №9'!G76)</f>
        <v>0</v>
      </c>
      <c r="F58" s="83">
        <f>SUM('Таблица №9'!H76)</f>
        <v>50</v>
      </c>
      <c r="G58" s="83">
        <f>SUM('Таблица №9'!I76)</f>
        <v>0</v>
      </c>
      <c r="H58" s="83">
        <f>SUM('Таблица №9'!J76)</f>
        <v>50</v>
      </c>
      <c r="I58" s="83">
        <f>SUM('Таблица №9'!K76)</f>
        <v>0</v>
      </c>
    </row>
    <row r="59" spans="1:9" ht="42" customHeight="1">
      <c r="A59" s="80" t="str">
        <f>'Таблица №9'!A145</f>
        <v>Муниципальная программа "Устойчивое развитие сельских территорий  Алексеевского муниципального района на  2014-2017 годы и на период до 2020 года"</v>
      </c>
      <c r="B59" s="84" t="s">
        <v>99</v>
      </c>
      <c r="C59" s="84" t="s">
        <v>186</v>
      </c>
      <c r="D59" s="84" t="s">
        <v>81</v>
      </c>
      <c r="E59" s="82">
        <f>SUM('Таблица №9'!G145)</f>
        <v>-6.5</v>
      </c>
      <c r="F59" s="82">
        <f>SUM('Таблица №9'!H145)</f>
        <v>0</v>
      </c>
      <c r="G59" s="82">
        <f>SUM('Таблица №9'!I145)</f>
        <v>0</v>
      </c>
      <c r="H59" s="82">
        <f>SUM('Таблица №9'!J145)</f>
        <v>0</v>
      </c>
      <c r="I59" s="82">
        <f>SUM('Таблица №9'!K145)</f>
        <v>0</v>
      </c>
    </row>
    <row r="60" spans="1:9" ht="42" customHeight="1">
      <c r="A60" s="49" t="s">
        <v>119</v>
      </c>
      <c r="B60" s="85" t="s">
        <v>99</v>
      </c>
      <c r="C60" s="85" t="s">
        <v>186</v>
      </c>
      <c r="D60" s="85" t="s">
        <v>182</v>
      </c>
      <c r="E60" s="83">
        <v>0</v>
      </c>
      <c r="F60" s="83">
        <f>SUM('Таблица №9'!H146)</f>
        <v>0</v>
      </c>
      <c r="G60" s="83">
        <f>SUM('Таблица №9'!I146)</f>
        <v>0</v>
      </c>
      <c r="H60" s="83">
        <f>SUM('Таблица №9'!J146)</f>
        <v>0</v>
      </c>
      <c r="I60" s="83">
        <f>SUM('Таблица №9'!K146)</f>
        <v>0</v>
      </c>
    </row>
    <row r="61" spans="1:9" ht="15.75">
      <c r="A61" s="44" t="s">
        <v>292</v>
      </c>
      <c r="B61" s="85"/>
      <c r="C61" s="87"/>
      <c r="D61" s="88"/>
      <c r="E61" s="82">
        <f>SUM(E9+E11+E20+E22+E26+E28+E37+E39+E41+E43+E45+E47+E49+E51+E53+E55+E57+E59+E35)</f>
        <v>11522.1</v>
      </c>
      <c r="F61" s="82">
        <f>SUM(F9+F11+F20+F22+F26+F28+F37+F39+F41+F43+F45+F47+F49+F51+F53+F55+F57+F59+F35)</f>
        <v>16338.6</v>
      </c>
      <c r="G61" s="82">
        <f>SUM(G9+G11+G20+G22+G26+G28+G37+G39+G41+G43+G45+G47+G49+G51+G53+G55+G57+G59+G35)</f>
        <v>5199.3</v>
      </c>
      <c r="H61" s="82">
        <f>SUM(H9+H11+H20+H22+H26+H28+H37+H39+H41+H43+H45+H47+H49+H51+H53+H55+H57+H59+H35)</f>
        <v>9709.300000000001</v>
      </c>
      <c r="I61" s="82">
        <f>SUM(I9+I11+I20+I22+I26+I28+I37+I39+I41+I43+I45+I47+I49+I51+I53+I55+I57+I59+I35)</f>
        <v>5213.3</v>
      </c>
    </row>
    <row r="62" ht="15">
      <c r="D62" s="19"/>
    </row>
    <row r="63" ht="15">
      <c r="D63" s="19"/>
    </row>
    <row r="64" spans="1:9" s="15" customFormat="1" ht="15">
      <c r="A64" s="7"/>
      <c r="B64" s="12"/>
      <c r="C64" s="13"/>
      <c r="D64" s="19"/>
      <c r="I64" s="2"/>
    </row>
    <row r="65" spans="1:9" s="15" customFormat="1" ht="15">
      <c r="A65" s="7"/>
      <c r="B65" s="12"/>
      <c r="C65" s="13"/>
      <c r="D65" s="19"/>
      <c r="I65" s="2"/>
    </row>
    <row r="66" ht="15">
      <c r="D66" s="19"/>
    </row>
    <row r="67" ht="15">
      <c r="D67" s="19"/>
    </row>
  </sheetData>
  <sheetProtection/>
  <mergeCells count="5">
    <mergeCell ref="A5:I5"/>
    <mergeCell ref="E4:H4"/>
    <mergeCell ref="E1:H1"/>
    <mergeCell ref="E2:H2"/>
    <mergeCell ref="E3:H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46"/>
  <sheetViews>
    <sheetView showGridLines="0" tabSelected="1" zoomScalePageLayoutView="0" workbookViewId="0" topLeftCell="A1">
      <pane ySplit="8" topLeftCell="BM9" activePane="bottomLeft" state="frozen"/>
      <selection pane="topLeft" activeCell="A1" sqref="A1"/>
      <selection pane="bottomLeft" activeCell="E8" sqref="E8"/>
    </sheetView>
  </sheetViews>
  <sheetFormatPr defaultColWidth="9.140625" defaultRowHeight="12.75" outlineLevelRow="5"/>
  <cols>
    <col min="1" max="1" width="46.421875" style="7" customWidth="1"/>
    <col min="2" max="2" width="10.8515625" style="12" customWidth="1"/>
    <col min="3" max="3" width="6.57421875" style="13" customWidth="1"/>
    <col min="4" max="4" width="6.28125" style="11" customWidth="1"/>
    <col min="5" max="5" width="14.00390625" style="15" customWidth="1"/>
    <col min="6" max="7" width="14.28125" style="15" customWidth="1"/>
    <col min="8" max="8" width="14.421875" style="15" customWidth="1"/>
    <col min="9" max="9" width="12.7109375" style="2" bestFit="1" customWidth="1"/>
    <col min="10" max="16384" width="9.140625" style="2" customWidth="1"/>
  </cols>
  <sheetData>
    <row r="1" spans="5:9" ht="18.75">
      <c r="E1" s="125" t="s">
        <v>31</v>
      </c>
      <c r="F1" s="125"/>
      <c r="G1" s="125"/>
      <c r="H1" s="125"/>
      <c r="I1" s="25"/>
    </row>
    <row r="2" spans="5:9" ht="18.75">
      <c r="E2" s="125" t="s">
        <v>25</v>
      </c>
      <c r="F2" s="125"/>
      <c r="G2" s="125"/>
      <c r="H2" s="125"/>
      <c r="I2" s="25"/>
    </row>
    <row r="3" spans="5:9" ht="18.75">
      <c r="E3" s="125" t="s">
        <v>26</v>
      </c>
      <c r="F3" s="125"/>
      <c r="G3" s="125"/>
      <c r="H3" s="125"/>
      <c r="I3" s="25"/>
    </row>
    <row r="4" spans="1:9" ht="21.75" customHeight="1">
      <c r="A4" s="8"/>
      <c r="B4" s="1"/>
      <c r="C4" s="5"/>
      <c r="D4" s="10"/>
      <c r="E4" s="125" t="s">
        <v>174</v>
      </c>
      <c r="F4" s="125"/>
      <c r="G4" s="125"/>
      <c r="H4" s="125"/>
      <c r="I4" s="25"/>
    </row>
    <row r="5" spans="1:9" ht="53.25" customHeight="1">
      <c r="A5" s="128" t="s">
        <v>170</v>
      </c>
      <c r="B5" s="128"/>
      <c r="C5" s="128"/>
      <c r="D5" s="128"/>
      <c r="E5" s="128"/>
      <c r="F5" s="128"/>
      <c r="G5" s="128"/>
      <c r="H5" s="128"/>
      <c r="I5" s="128"/>
    </row>
    <row r="6" spans="1:8" ht="12.75" hidden="1">
      <c r="A6" s="53"/>
      <c r="B6" s="54"/>
      <c r="C6" s="55"/>
      <c r="D6" s="57"/>
      <c r="E6" s="56"/>
      <c r="F6" s="56"/>
      <c r="G6" s="56"/>
      <c r="H6" s="56"/>
    </row>
    <row r="7" spans="1:8" ht="12.75">
      <c r="A7" s="53"/>
      <c r="B7" s="54"/>
      <c r="C7" s="55"/>
      <c r="D7" s="57"/>
      <c r="E7" s="56"/>
      <c r="F7" s="56"/>
      <c r="G7" s="56"/>
      <c r="H7" s="58" t="s">
        <v>39</v>
      </c>
    </row>
    <row r="8" spans="1:9" ht="81" customHeight="1">
      <c r="A8" s="70" t="s">
        <v>177</v>
      </c>
      <c r="B8" s="97" t="s">
        <v>70</v>
      </c>
      <c r="C8" s="98" t="s">
        <v>185</v>
      </c>
      <c r="D8" s="114" t="s">
        <v>71</v>
      </c>
      <c r="E8" s="69" t="s">
        <v>159</v>
      </c>
      <c r="F8" s="69" t="s">
        <v>160</v>
      </c>
      <c r="G8" s="69" t="s">
        <v>161</v>
      </c>
      <c r="H8" s="69" t="s">
        <v>45</v>
      </c>
      <c r="I8" s="69" t="s">
        <v>162</v>
      </c>
    </row>
    <row r="9" spans="1:9" ht="90.75" customHeight="1">
      <c r="A9" s="111" t="str">
        <f>'Таблица №9'!A77</f>
        <v>Ведомственная целевая программа "Повышение эффективности предоставления государственных и муниципальных услуг на базе автономного учреждения «Алексеевский многофункциональный центр предоставления государственных и муниципальных услуг» на территории Алексеевского муниципального района Волгоградской области на 2016-2018 годы"</v>
      </c>
      <c r="B9" s="112" t="s">
        <v>195</v>
      </c>
      <c r="C9" s="113">
        <v>0</v>
      </c>
      <c r="D9" s="91"/>
      <c r="E9" s="72">
        <f>SUM(E10)</f>
        <v>0</v>
      </c>
      <c r="F9" s="72">
        <f>SUM(F10)</f>
        <v>3800</v>
      </c>
      <c r="G9" s="72">
        <f>SUM(G10)</f>
        <v>1300</v>
      </c>
      <c r="H9" s="72">
        <f>SUM(H10)</f>
        <v>3800</v>
      </c>
      <c r="I9" s="72">
        <f>SUM(I10)</f>
        <v>0</v>
      </c>
    </row>
    <row r="10" spans="1:9" ht="27" customHeight="1">
      <c r="A10" s="50" t="str">
        <f>'Таблица №9'!A78</f>
        <v>Предоставление субсидий бюджетным, автономным учреждениям и иным некоммерческим организациям</v>
      </c>
      <c r="B10" s="92" t="s">
        <v>195</v>
      </c>
      <c r="C10" s="93">
        <v>0</v>
      </c>
      <c r="D10" s="94">
        <v>600</v>
      </c>
      <c r="E10" s="73">
        <f>SUM('Таблица №9'!G78)</f>
        <v>0</v>
      </c>
      <c r="F10" s="73">
        <f>SUM('Таблица №9'!H78)</f>
        <v>3800</v>
      </c>
      <c r="G10" s="73">
        <f>SUM('Таблица №9'!I78)</f>
        <v>1300</v>
      </c>
      <c r="H10" s="73">
        <f>SUM('Таблица №9'!J78)</f>
        <v>3800</v>
      </c>
      <c r="I10" s="73">
        <f>SUM('Таблица №9'!K78)</f>
        <v>0</v>
      </c>
    </row>
    <row r="11" spans="1:9" ht="83.25" customHeight="1" outlineLevel="5">
      <c r="A11" s="64" t="str">
        <f>'Таблица №9'!A79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2016-2018 годы"</v>
      </c>
      <c r="B11" s="89" t="s">
        <v>191</v>
      </c>
      <c r="C11" s="89" t="s">
        <v>186</v>
      </c>
      <c r="D11" s="89"/>
      <c r="E11" s="74">
        <f>SUM(E12)</f>
        <v>0</v>
      </c>
      <c r="F11" s="74">
        <f>SUM(F12)</f>
        <v>19000</v>
      </c>
      <c r="G11" s="74">
        <f>SUM(G12)</f>
        <v>6500</v>
      </c>
      <c r="H11" s="74">
        <f>SUM(H12)</f>
        <v>19000</v>
      </c>
      <c r="I11" s="74">
        <f>SUM(I12)</f>
        <v>22675</v>
      </c>
    </row>
    <row r="12" spans="1:9" ht="30.75" customHeight="1" outlineLevel="2">
      <c r="A12" s="50" t="str">
        <f>'Таблица №9'!A80</f>
        <v>Предоставление субсидий бюджетным, автономным учреждениям и иным некоммерческим организациям</v>
      </c>
      <c r="B12" s="92" t="s">
        <v>191</v>
      </c>
      <c r="C12" s="92" t="s">
        <v>186</v>
      </c>
      <c r="D12" s="92" t="s">
        <v>78</v>
      </c>
      <c r="E12" s="75">
        <f>SUM('Таблица №9'!G80)</f>
        <v>0</v>
      </c>
      <c r="F12" s="75">
        <f>SUM('Таблица №9'!H80)</f>
        <v>19000</v>
      </c>
      <c r="G12" s="75">
        <f>SUM('Таблица №9'!I80)</f>
        <v>6500</v>
      </c>
      <c r="H12" s="75">
        <f>SUM('Таблица №9'!J80)</f>
        <v>19000</v>
      </c>
      <c r="I12" s="75">
        <f>SUM('Таблица №9'!K80)</f>
        <v>22675</v>
      </c>
    </row>
    <row r="13" spans="1:9" ht="51" outlineLevel="1">
      <c r="A13" s="64" t="str">
        <f>'Таблица №9'!A162</f>
        <v>Ведомственная целевая программа "Развитие дошкольного образования детей на  территории  Алексеевского муниципального района на 2016-2018 годы"</v>
      </c>
      <c r="B13" s="89" t="str">
        <f>'Таблица №9'!D162</f>
        <v>52</v>
      </c>
      <c r="C13" s="89">
        <f>'Таблица №9'!E162</f>
        <v>0</v>
      </c>
      <c r="D13" s="89"/>
      <c r="E13" s="74">
        <f>SUM(E14)</f>
        <v>-3655.6</v>
      </c>
      <c r="F13" s="74">
        <f>SUM(F14)</f>
        <v>23390.3</v>
      </c>
      <c r="G13" s="74">
        <f>SUM(G14)</f>
        <v>1286.4</v>
      </c>
      <c r="H13" s="74">
        <f>SUM(H14)</f>
        <v>24032.3</v>
      </c>
      <c r="I13" s="74">
        <f>SUM(I14)</f>
        <v>26388.3</v>
      </c>
    </row>
    <row r="14" spans="1:9" ht="31.5" customHeight="1" outlineLevel="1">
      <c r="A14" s="50" t="str">
        <f>'Таблица №9'!A163</f>
        <v>Предоставление субсидий бюджетным, автономным учреждениям и иным некоммерческим организациям</v>
      </c>
      <c r="B14" s="92" t="str">
        <f>'Таблица №9'!D163</f>
        <v>52</v>
      </c>
      <c r="C14" s="92">
        <f>'Таблица №9'!E163</f>
        <v>0</v>
      </c>
      <c r="D14" s="92" t="s">
        <v>78</v>
      </c>
      <c r="E14" s="75">
        <f>SUM('Таблица №9'!G162)</f>
        <v>-3655.6</v>
      </c>
      <c r="F14" s="75">
        <f>SUM('Таблица №9'!H162)</f>
        <v>23390.3</v>
      </c>
      <c r="G14" s="75">
        <f>SUM('Таблица №9'!I162)</f>
        <v>1286.4</v>
      </c>
      <c r="H14" s="75">
        <f>SUM('Таблица №9'!J162)</f>
        <v>24032.3</v>
      </c>
      <c r="I14" s="75">
        <f>SUM('Таблица №9'!K162)</f>
        <v>26388.3</v>
      </c>
    </row>
    <row r="15" spans="1:9" ht="38.25" outlineLevel="5">
      <c r="A15" s="64" t="str">
        <f>'Таблица №9'!A179</f>
        <v>Ведомственная целевая программа "Развитие общего образования детей на  территории  Алексеевского муниципального района на 2017-2019 годы"</v>
      </c>
      <c r="B15" s="89" t="str">
        <f>'Таблица №9'!D179</f>
        <v>53</v>
      </c>
      <c r="C15" s="89">
        <f>'Таблица №9'!E179</f>
        <v>0</v>
      </c>
      <c r="D15" s="89"/>
      <c r="E15" s="74">
        <f>SUM(E16:E19)</f>
        <v>97914.00000000001</v>
      </c>
      <c r="F15" s="74">
        <f>SUM(F16:F19)</f>
        <v>97914.00000000001</v>
      </c>
      <c r="G15" s="74">
        <f>SUM(G16:G19)</f>
        <v>107405.79999999997</v>
      </c>
      <c r="H15" s="74">
        <f>SUM(H16:H19)</f>
        <v>107405.79999999997</v>
      </c>
      <c r="I15" s="74">
        <f>SUM(I16:I19)</f>
        <v>107403.09999999999</v>
      </c>
    </row>
    <row r="16" spans="1:9" ht="70.5" customHeight="1" outlineLevel="5">
      <c r="A16" s="50" t="str">
        <f>'Таблица №9'!A181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92" t="s">
        <v>199</v>
      </c>
      <c r="C16" s="92" t="s">
        <v>186</v>
      </c>
      <c r="D16" s="92" t="s">
        <v>76</v>
      </c>
      <c r="E16" s="75">
        <f>SUM('Таблица №9'!G181+'Таблица №9'!G186+'Таблица №9'!G187)</f>
        <v>3924</v>
      </c>
      <c r="F16" s="75">
        <f>SUM('Таблица №9'!H181+'Таблица №9'!H186+'Таблица №9'!H187)</f>
        <v>3924</v>
      </c>
      <c r="G16" s="75">
        <f>SUM('Таблица №9'!I181+'Таблица №9'!I186)</f>
        <v>3936.7</v>
      </c>
      <c r="H16" s="75">
        <f>SUM('Таблица №9'!J181+'Таблица №9'!J186)</f>
        <v>3936.7</v>
      </c>
      <c r="I16" s="75">
        <f>SUM('Таблица №9'!K181+'Таблица №9'!K186)</f>
        <v>3936.7</v>
      </c>
    </row>
    <row r="17" spans="1:9" ht="29.25" customHeight="1" outlineLevel="5">
      <c r="A17" s="50" t="str">
        <f>'Таблица №9'!A182</f>
        <v>Закупка товаров, работ и услуг для государственных (муниципальных) нужд</v>
      </c>
      <c r="B17" s="92" t="s">
        <v>199</v>
      </c>
      <c r="C17" s="92" t="s">
        <v>186</v>
      </c>
      <c r="D17" s="92" t="s">
        <v>38</v>
      </c>
      <c r="E17" s="75">
        <f>SUM('Таблица №9'!G182+'Таблица №9'!G188+'Таблица №9'!G189)</f>
        <v>1165.5</v>
      </c>
      <c r="F17" s="75">
        <f>SUM('Таблица №9'!H182+'Таблица №9'!H188+'Таблица №9'!H189)</f>
        <v>1165.5</v>
      </c>
      <c r="G17" s="75">
        <f>SUM('Таблица №9'!I182+'Таблица №9'!I188+'Таблица №9'!I189)</f>
        <v>1199.3</v>
      </c>
      <c r="H17" s="75">
        <f>SUM('Таблица №9'!J182+'Таблица №9'!J188+'Таблица №9'!J189)</f>
        <v>1199.3</v>
      </c>
      <c r="I17" s="75">
        <f>SUM('Таблица №9'!K182+'Таблица №9'!K188+'Таблица №9'!K189)</f>
        <v>1199.3</v>
      </c>
    </row>
    <row r="18" spans="1:9" ht="20.25" customHeight="1" outlineLevel="5">
      <c r="A18" s="50" t="str">
        <f>'Таблица №9'!A183</f>
        <v>Иные бюджетные ассигнования</v>
      </c>
      <c r="B18" s="92" t="s">
        <v>199</v>
      </c>
      <c r="C18" s="92" t="s">
        <v>186</v>
      </c>
      <c r="D18" s="92" t="s">
        <v>77</v>
      </c>
      <c r="E18" s="75">
        <f>SUM('Таблица №9'!G183)</f>
        <v>76.6</v>
      </c>
      <c r="F18" s="75">
        <f>SUM('Таблица №9'!H183)</f>
        <v>76.6</v>
      </c>
      <c r="G18" s="75">
        <f>SUM('Таблица №9'!I183)</f>
        <v>39.2</v>
      </c>
      <c r="H18" s="75">
        <f>SUM('Таблица №9'!J183)</f>
        <v>39.2</v>
      </c>
      <c r="I18" s="75">
        <f>SUM('Таблица №9'!K183)</f>
        <v>39.2</v>
      </c>
    </row>
    <row r="19" spans="1:9" ht="28.5" customHeight="1" outlineLevel="5">
      <c r="A19" s="50" t="str">
        <f>'Таблица №9'!A184</f>
        <v>Предоставление субсидий бюджетным, автономным учреждениям и иным некоммерческим организациям</v>
      </c>
      <c r="B19" s="92" t="s">
        <v>199</v>
      </c>
      <c r="C19" s="92" t="s">
        <v>186</v>
      </c>
      <c r="D19" s="92" t="s">
        <v>78</v>
      </c>
      <c r="E19" s="75">
        <f>SUM('Таблица №9'!G184+'Таблица №9'!G190+'Таблица №9'!G192+'Таблица №9'!G194+'Таблица №9'!G191+'Таблица №9'!G193)</f>
        <v>92747.90000000001</v>
      </c>
      <c r="F19" s="75">
        <f>SUM('Таблица №9'!H184+'Таблица №9'!H190+'Таблица №9'!H192+'Таблица №9'!H194+'Таблица №9'!H191+'Таблица №9'!H193)</f>
        <v>92747.90000000001</v>
      </c>
      <c r="G19" s="75">
        <f>SUM('Таблица №9'!I184+'Таблица №9'!I190+'Таблица №9'!I192+'Таблица №9'!I194)</f>
        <v>102230.59999999998</v>
      </c>
      <c r="H19" s="75">
        <f>SUM('Таблица №9'!J184+'Таблица №9'!J190+'Таблица №9'!J192+'Таблица №9'!J194)</f>
        <v>102230.59999999998</v>
      </c>
      <c r="I19" s="75">
        <f>SUM('Таблица №9'!K184+'Таблица №9'!K190+'Таблица №9'!K192+'Таблица №9'!K194)</f>
        <v>102227.9</v>
      </c>
    </row>
    <row r="20" spans="1:9" ht="51" outlineLevel="3">
      <c r="A20" s="64" t="str">
        <f>'Таблица №9'!A209</f>
        <v>Ведомственная целевая программа "Реализация дополнительных общеобразовательных предпрофессиональных  программ в  Алексеевском муниципальном районе на 2016-2018 годы" (ДШИ)</v>
      </c>
      <c r="B20" s="89" t="str">
        <f>'Таблица №9'!D209</f>
        <v>54</v>
      </c>
      <c r="C20" s="89">
        <f>'Таблица №9'!E209</f>
        <v>0</v>
      </c>
      <c r="D20" s="89"/>
      <c r="E20" s="74">
        <f>SUM(E21)</f>
        <v>0</v>
      </c>
      <c r="F20" s="74">
        <f>SUM(F21)</f>
        <v>4300</v>
      </c>
      <c r="G20" s="74">
        <f>SUM(G21)</f>
        <v>1400</v>
      </c>
      <c r="H20" s="74">
        <f>SUM(H21)</f>
        <v>4300</v>
      </c>
      <c r="I20" s="74">
        <f>SUM(I21)</f>
        <v>5300</v>
      </c>
    </row>
    <row r="21" spans="1:9" ht="25.5" outlineLevel="3">
      <c r="A21" s="50" t="str">
        <f>'Таблица №9'!A210</f>
        <v>Предоставление субсидий бюджетным, автономным учреждениям и иным некоммерческим организациям</v>
      </c>
      <c r="B21" s="92" t="str">
        <f>'Таблица №9'!D210</f>
        <v>54</v>
      </c>
      <c r="C21" s="92">
        <f>'Таблица №9'!E210</f>
        <v>0</v>
      </c>
      <c r="D21" s="92">
        <f>'Таблица №9'!F210</f>
        <v>600</v>
      </c>
      <c r="E21" s="75">
        <f>'Таблица №9'!G210</f>
        <v>0</v>
      </c>
      <c r="F21" s="75">
        <f>'Таблица №9'!H210</f>
        <v>4300</v>
      </c>
      <c r="G21" s="75">
        <f>'Таблица №9'!I210</f>
        <v>1400</v>
      </c>
      <c r="H21" s="75">
        <f>'Таблица №9'!J210</f>
        <v>4300</v>
      </c>
      <c r="I21" s="75">
        <f>'Таблица №9'!K210</f>
        <v>5300</v>
      </c>
    </row>
    <row r="22" spans="1:9" ht="56.25" customHeight="1" outlineLevel="3">
      <c r="A22" s="64" t="str">
        <f>'Таблица №9'!A211</f>
        <v>Ведомственная целевая программа "Развитие физической культуры и спорта в  учреждение  дополнительного образования детей Алексеевского муниципального района на 2016-2018 годы" (ДЮСШ)</v>
      </c>
      <c r="B22" s="89" t="str">
        <f>'Таблица №9'!D211</f>
        <v>55</v>
      </c>
      <c r="C22" s="89">
        <f>'Таблица №9'!E211</f>
        <v>0</v>
      </c>
      <c r="D22" s="89"/>
      <c r="E22" s="74">
        <f>SUM(E23)</f>
        <v>0</v>
      </c>
      <c r="F22" s="74">
        <f>SUM(F23)</f>
        <v>4100</v>
      </c>
      <c r="G22" s="74">
        <f>SUM(G23)</f>
        <v>1400</v>
      </c>
      <c r="H22" s="74">
        <f>SUM(H23)</f>
        <v>4100</v>
      </c>
      <c r="I22" s="74">
        <f>SUM(I23)</f>
        <v>6350</v>
      </c>
    </row>
    <row r="23" spans="1:9" ht="25.5" outlineLevel="3">
      <c r="A23" s="50" t="str">
        <f>'Таблица №9'!A212</f>
        <v>Предоставление субсидий бюджетным, автономным учреждениям и иным некоммерческим организациям</v>
      </c>
      <c r="B23" s="92" t="str">
        <f>'Таблица №9'!D212</f>
        <v>55</v>
      </c>
      <c r="C23" s="92">
        <f>'Таблица №9'!E212</f>
        <v>0</v>
      </c>
      <c r="D23" s="92">
        <f>'Таблица №9'!F212</f>
        <v>600</v>
      </c>
      <c r="E23" s="75">
        <f>'Таблица №9'!G211</f>
        <v>0</v>
      </c>
      <c r="F23" s="75">
        <f>'Таблица №9'!H211</f>
        <v>4100</v>
      </c>
      <c r="G23" s="75">
        <f>'Таблица №9'!I212</f>
        <v>1400</v>
      </c>
      <c r="H23" s="75">
        <f>'Таблица №9'!J212</f>
        <v>4100</v>
      </c>
      <c r="I23" s="75">
        <f>'Таблица №9'!K212</f>
        <v>6350</v>
      </c>
    </row>
    <row r="24" spans="1:9" ht="38.25" outlineLevel="3">
      <c r="A24" s="71" t="str">
        <f>'Таблица №9'!A224</f>
        <v>Ведомственная целевая программа "Молодежная политика  на территории Алексеевского муниципального района на 2016-2018 годы" (СДЦ)</v>
      </c>
      <c r="B24" s="89" t="str">
        <f>'Таблица №9'!D224</f>
        <v>56</v>
      </c>
      <c r="C24" s="89">
        <f>'Таблица №9'!E224</f>
        <v>0</v>
      </c>
      <c r="D24" s="89"/>
      <c r="E24" s="74">
        <f>SUM(E25)</f>
        <v>0</v>
      </c>
      <c r="F24" s="74">
        <f>SUM(F25)</f>
        <v>3100</v>
      </c>
      <c r="G24" s="74">
        <f>SUM(G25)</f>
        <v>1100</v>
      </c>
      <c r="H24" s="74">
        <f>SUM(H25)</f>
        <v>3100</v>
      </c>
      <c r="I24" s="74">
        <f>SUM(I25)</f>
        <v>3800</v>
      </c>
    </row>
    <row r="25" spans="1:9" ht="25.5" outlineLevel="3">
      <c r="A25" s="43" t="str">
        <f>'Таблица №9'!A225</f>
        <v>Предоставление субсидий бюджетным, автономным учреждениям и иным некоммерческим организациям</v>
      </c>
      <c r="B25" s="92" t="str">
        <f>'Таблица №9'!D225</f>
        <v>56</v>
      </c>
      <c r="C25" s="92">
        <f>'Таблица №9'!E225</f>
        <v>0</v>
      </c>
      <c r="D25" s="92">
        <f>'Таблица №9'!F225</f>
        <v>600</v>
      </c>
      <c r="E25" s="75">
        <f>SUM('Таблица №9'!G224)</f>
        <v>0</v>
      </c>
      <c r="F25" s="75">
        <f>SUM('Таблица №9'!H224)</f>
        <v>3100</v>
      </c>
      <c r="G25" s="75">
        <f>SUM('Таблица №9'!I224)</f>
        <v>1100</v>
      </c>
      <c r="H25" s="75">
        <f>SUM('Таблица №9'!J224)</f>
        <v>3100</v>
      </c>
      <c r="I25" s="75">
        <f>SUM('Таблица №9'!K224)</f>
        <v>3800</v>
      </c>
    </row>
    <row r="26" spans="1:9" s="16" customFormat="1" ht="63.75" customHeight="1" outlineLevel="2">
      <c r="A26" s="71" t="str">
        <f>'Таблица №9'!A226</f>
        <v>Ведомственная целевая программа "Организация отдыха и оздоровление детей на базе муниципального бюджетного учреждения Алексеевского муниципального детского оздоровительного лагеря "Сосенка" на 2016-2018 годы" </v>
      </c>
      <c r="B26" s="89" t="str">
        <f>'Таблица №9'!D226</f>
        <v>57</v>
      </c>
      <c r="C26" s="89">
        <f>'Таблица №9'!E226</f>
        <v>0</v>
      </c>
      <c r="D26" s="89"/>
      <c r="E26" s="74">
        <f>SUM(E27)</f>
        <v>0</v>
      </c>
      <c r="F26" s="74">
        <f>SUM(F27)</f>
        <v>1600</v>
      </c>
      <c r="G26" s="74">
        <f>SUM(G27)</f>
        <v>0</v>
      </c>
      <c r="H26" s="74">
        <f>SUM(H27)</f>
        <v>1600</v>
      </c>
      <c r="I26" s="74">
        <f>SUM(I27)</f>
        <v>1600</v>
      </c>
    </row>
    <row r="27" spans="1:9" s="16" customFormat="1" ht="25.5" outlineLevel="2">
      <c r="A27" s="43" t="str">
        <f>'Таблица №9'!A227</f>
        <v>Предоставление субсидий бюджетным, автономным учреждениям и иным некоммерческим организациям</v>
      </c>
      <c r="B27" s="92" t="str">
        <f>'Таблица №9'!D227</f>
        <v>57</v>
      </c>
      <c r="C27" s="92">
        <f>'Таблица №9'!E227</f>
        <v>0</v>
      </c>
      <c r="D27" s="92">
        <f>'Таблица №9'!F227</f>
        <v>600</v>
      </c>
      <c r="E27" s="75">
        <f>SUM('Таблица №9'!G226)</f>
        <v>0</v>
      </c>
      <c r="F27" s="75">
        <f>SUM('Таблица №9'!H226)</f>
        <v>1600</v>
      </c>
      <c r="G27" s="75">
        <f>SUM('Таблица №9'!I226)</f>
        <v>0</v>
      </c>
      <c r="H27" s="75">
        <f>SUM('Таблица №9'!J226)</f>
        <v>1600</v>
      </c>
      <c r="I27" s="75">
        <f>SUM('Таблица №9'!K226)</f>
        <v>1600</v>
      </c>
    </row>
    <row r="28" spans="1:9" ht="51" outlineLevel="3">
      <c r="A28" s="71" t="str">
        <f>'Таблица №9'!A236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 на 2016-2018 годы" </v>
      </c>
      <c r="B28" s="89" t="str">
        <f>'Таблица №9'!D236</f>
        <v>58</v>
      </c>
      <c r="C28" s="89">
        <f>'Таблица №9'!E236</f>
        <v>0</v>
      </c>
      <c r="D28" s="89"/>
      <c r="E28" s="74">
        <f>SUM(E29:E31)</f>
        <v>0</v>
      </c>
      <c r="F28" s="74">
        <f>SUM(F29:F31)</f>
        <v>625</v>
      </c>
      <c r="G28" s="74">
        <f>SUM(G29:G31)</f>
        <v>0</v>
      </c>
      <c r="H28" s="74">
        <f>SUM(H29:H31)</f>
        <v>625</v>
      </c>
      <c r="I28" s="74">
        <f>SUM(I29:I31)</f>
        <v>625</v>
      </c>
    </row>
    <row r="29" spans="1:9" ht="63.75" outlineLevel="3">
      <c r="A29" s="43" t="str">
        <f>'Таблица №9'!A237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" s="92" t="s">
        <v>204</v>
      </c>
      <c r="C29" s="92" t="s">
        <v>186</v>
      </c>
      <c r="D29" s="92" t="s">
        <v>76</v>
      </c>
      <c r="E29" s="75">
        <f>SUM('Таблица №9'!G237)</f>
        <v>0</v>
      </c>
      <c r="F29" s="75">
        <f>SUM('Таблица №9'!H237)</f>
        <v>600</v>
      </c>
      <c r="G29" s="75">
        <f>SUM('Таблица №9'!I237)</f>
        <v>0</v>
      </c>
      <c r="H29" s="75">
        <f>SUM('Таблица №9'!J237)</f>
        <v>600</v>
      </c>
      <c r="I29" s="75">
        <f>SUM('Таблица №9'!K237)</f>
        <v>600</v>
      </c>
    </row>
    <row r="30" spans="1:9" ht="25.5" outlineLevel="3">
      <c r="A30" s="43" t="str">
        <f>'Таблица №9'!A238</f>
        <v>Закупка товаров, работ и услуг для государственных (муниципальных) нужд</v>
      </c>
      <c r="B30" s="92" t="s">
        <v>204</v>
      </c>
      <c r="C30" s="92" t="s">
        <v>186</v>
      </c>
      <c r="D30" s="92" t="s">
        <v>38</v>
      </c>
      <c r="E30" s="75">
        <f>SUM('Таблица №9'!G238)</f>
        <v>0</v>
      </c>
      <c r="F30" s="75">
        <f>SUM('Таблица №9'!H238)</f>
        <v>24.8</v>
      </c>
      <c r="G30" s="75">
        <f>SUM('Таблица №9'!I238)</f>
        <v>0</v>
      </c>
      <c r="H30" s="75">
        <f>SUM('Таблица №9'!J238)</f>
        <v>24.8</v>
      </c>
      <c r="I30" s="75">
        <f>SUM('Таблица №9'!K238)</f>
        <v>24.8</v>
      </c>
    </row>
    <row r="31" spans="1:9" ht="15.75" outlineLevel="3">
      <c r="A31" s="43" t="str">
        <f>'Таблица №9'!A239</f>
        <v>Иные бюджетные ассигнования</v>
      </c>
      <c r="B31" s="92" t="s">
        <v>204</v>
      </c>
      <c r="C31" s="92" t="s">
        <v>186</v>
      </c>
      <c r="D31" s="92" t="s">
        <v>77</v>
      </c>
      <c r="E31" s="75"/>
      <c r="F31" s="75">
        <f>SUM('Таблица №9'!H239)</f>
        <v>0.2</v>
      </c>
      <c r="G31" s="75">
        <f>SUM('Таблица №9'!I239)</f>
        <v>0</v>
      </c>
      <c r="H31" s="75">
        <f>SUM('Таблица №9'!J239)</f>
        <v>0.2</v>
      </c>
      <c r="I31" s="75">
        <f>SUM('Таблица №9'!K239)</f>
        <v>0.2</v>
      </c>
    </row>
    <row r="32" spans="1:9" ht="38.25" outlineLevel="5">
      <c r="A32" s="71" t="str">
        <f>'Таблица №9'!A245</f>
        <v>Ведомственная целевая программа "Развитие культуры и искусства в Алексеевском муниципальном районе на 2016-2018 годы"</v>
      </c>
      <c r="B32" s="89" t="str">
        <f>'Таблица №9'!D245</f>
        <v>59</v>
      </c>
      <c r="C32" s="89">
        <f>'Таблица №9'!E245</f>
        <v>0</v>
      </c>
      <c r="D32" s="89"/>
      <c r="E32" s="74">
        <f>SUM(E33)</f>
        <v>0</v>
      </c>
      <c r="F32" s="74">
        <f>SUM(F33)</f>
        <v>10300</v>
      </c>
      <c r="G32" s="74">
        <f>SUM(G33)</f>
        <v>3600</v>
      </c>
      <c r="H32" s="74">
        <f>SUM(H33)</f>
        <v>10300</v>
      </c>
      <c r="I32" s="74">
        <f>SUM(I33)</f>
        <v>11900</v>
      </c>
    </row>
    <row r="33" spans="1:9" ht="25.5" outlineLevel="5">
      <c r="A33" s="43" t="str">
        <f>'Таблица №9'!A247</f>
        <v>Предоставление субсидий бюджетным, автономным учреждениям и иным некоммерческим организациям</v>
      </c>
      <c r="B33" s="92" t="s">
        <v>205</v>
      </c>
      <c r="C33" s="92" t="s">
        <v>186</v>
      </c>
      <c r="D33" s="92" t="s">
        <v>78</v>
      </c>
      <c r="E33" s="75">
        <f>SUM('Таблица №9'!G245)</f>
        <v>0</v>
      </c>
      <c r="F33" s="75">
        <f>SUM('Таблица №9'!H245)</f>
        <v>10300</v>
      </c>
      <c r="G33" s="75">
        <f>SUM('Таблица №9'!I245)</f>
        <v>3600</v>
      </c>
      <c r="H33" s="75">
        <f>SUM('Таблица №9'!J245)</f>
        <v>10300</v>
      </c>
      <c r="I33" s="75">
        <f>SUM('Таблица №9'!K245)</f>
        <v>11900</v>
      </c>
    </row>
    <row r="34" spans="1:9" ht="38.25">
      <c r="A34" s="64" t="str">
        <f>'Таблица №9'!A288</f>
        <v>Ведомственная целевая программа "Поддержка средств массовой информации  в Алексеевском муниципальном районе на 2016-2018 годы"</v>
      </c>
      <c r="B34" s="89" t="str">
        <f>'Таблица №9'!D288</f>
        <v>61</v>
      </c>
      <c r="C34" s="89">
        <f>'Таблица №9'!E288</f>
        <v>0</v>
      </c>
      <c r="D34" s="89"/>
      <c r="E34" s="74">
        <f>SUM(E35)</f>
        <v>500</v>
      </c>
      <c r="F34" s="74">
        <f>SUM(F35)</f>
        <v>1200</v>
      </c>
      <c r="G34" s="74">
        <f>SUM(G35)</f>
        <v>500</v>
      </c>
      <c r="H34" s="74">
        <f>SUM(H35)</f>
        <v>1200</v>
      </c>
      <c r="I34" s="74">
        <f>SUM(I35)</f>
        <v>1200</v>
      </c>
    </row>
    <row r="35" spans="1:9" ht="25.5">
      <c r="A35" s="50" t="str">
        <f>'Таблица №9'!A289</f>
        <v>Предоставление субсидий бюджетным, автономным учреждениям и иным некоммерческим организациям</v>
      </c>
      <c r="B35" s="92" t="str">
        <f>'Таблица №9'!D289</f>
        <v>61</v>
      </c>
      <c r="C35" s="92">
        <f>'Таблица №9'!E289</f>
        <v>0</v>
      </c>
      <c r="D35" s="92">
        <f>'Таблица №9'!F289</f>
        <v>600</v>
      </c>
      <c r="E35" s="75">
        <f>'Таблица №9'!G288</f>
        <v>500</v>
      </c>
      <c r="F35" s="75">
        <f>'Таблица №9'!H288</f>
        <v>1200</v>
      </c>
      <c r="G35" s="75">
        <f>'Таблица №9'!I288</f>
        <v>500</v>
      </c>
      <c r="H35" s="75">
        <f>'Таблица №9'!J288</f>
        <v>1200</v>
      </c>
      <c r="I35" s="75">
        <f>'Таблица №9'!K288</f>
        <v>1200</v>
      </c>
    </row>
    <row r="36" spans="1:11" ht="15.75">
      <c r="A36" s="64" t="s">
        <v>292</v>
      </c>
      <c r="B36" s="89"/>
      <c r="C36" s="90"/>
      <c r="D36" s="95"/>
      <c r="E36" s="74">
        <f>SUM(E9+E11+E13+E15+E20+E22+E24+E26+E28+E32+E34)</f>
        <v>94758.40000000001</v>
      </c>
      <c r="F36" s="74">
        <f>SUM(F9+F11+F13+F15+F20+F22+F24+F26+F28+F32+F34)</f>
        <v>169329.30000000002</v>
      </c>
      <c r="G36" s="74">
        <f>SUM(G9+G11+G13+G15+G20+G22+G24+G26+G28+G32+G34)</f>
        <v>124492.19999999997</v>
      </c>
      <c r="H36" s="74">
        <f>SUM(H9+H11+H13+H15+H20+H22+H24+H26+H28+H32+H34)</f>
        <v>179463.09999999998</v>
      </c>
      <c r="I36" s="74">
        <f>SUM(I9+I11+I13+I15+I20+I22+I24+I26+I28+I32+I34)</f>
        <v>187241.4</v>
      </c>
      <c r="J36" s="30"/>
      <c r="K36" s="30"/>
    </row>
    <row r="37" spans="4:8" ht="15">
      <c r="D37" s="19"/>
      <c r="E37" s="29"/>
      <c r="F37" s="29"/>
      <c r="G37" s="29"/>
      <c r="H37" s="29"/>
    </row>
    <row r="38" ht="15">
      <c r="D38" s="19"/>
    </row>
    <row r="39" ht="15">
      <c r="D39" s="19"/>
    </row>
    <row r="40" ht="15">
      <c r="D40" s="19"/>
    </row>
    <row r="41" ht="15">
      <c r="D41" s="19"/>
    </row>
    <row r="42" ht="15">
      <c r="D42" s="19"/>
    </row>
    <row r="43" ht="15">
      <c r="D43" s="19"/>
    </row>
    <row r="44" ht="15">
      <c r="D44" s="19"/>
    </row>
    <row r="45" spans="1:12" s="15" customFormat="1" ht="15">
      <c r="A45" s="7"/>
      <c r="B45" s="12"/>
      <c r="C45" s="13"/>
      <c r="D45" s="19"/>
      <c r="I45" s="2"/>
      <c r="J45" s="2"/>
      <c r="K45" s="2"/>
      <c r="L45" s="2"/>
    </row>
    <row r="46" spans="1:12" s="15" customFormat="1" ht="15">
      <c r="A46" s="7"/>
      <c r="B46" s="12"/>
      <c r="C46" s="13"/>
      <c r="D46" s="19"/>
      <c r="I46" s="2"/>
      <c r="J46" s="2"/>
      <c r="K46" s="2"/>
      <c r="L46" s="2"/>
    </row>
  </sheetData>
  <sheetProtection/>
  <mergeCells count="5">
    <mergeCell ref="A5:I5"/>
    <mergeCell ref="E1:H1"/>
    <mergeCell ref="E2:H2"/>
    <mergeCell ref="E3:H3"/>
    <mergeCell ref="E4:H4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2016-12-03T10:14:27Z</cp:lastPrinted>
  <dcterms:created xsi:type="dcterms:W3CDTF">2002-03-11T10:22:12Z</dcterms:created>
  <dcterms:modified xsi:type="dcterms:W3CDTF">2016-12-03T10:15:04Z</dcterms:modified>
  <cp:category/>
  <cp:version/>
  <cp:contentType/>
  <cp:contentStatus/>
</cp:coreProperties>
</file>